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laprevisora.sharepoint.com/sites/GerenciadeInnovacinyProcesos-SubgerenciadeMejoramientoyProcesos/Documentos compartidos/Subgerencia de Mejoramiento y Procesos/Plan de Acción Anual/2024/CARGUE CUANTITATIVO/"/>
    </mc:Choice>
  </mc:AlternateContent>
  <xr:revisionPtr revIDLastSave="171" documentId="8_{20AA67C5-0A36-4717-A63A-B8BB5A2B7A89}" xr6:coauthVersionLast="47" xr6:coauthVersionMax="47" xr10:uidLastSave="{03337882-D45B-4FF4-814C-959AEAB6E246}"/>
  <bookViews>
    <workbookView xWindow="-110" yWindow="-110" windowWidth="19420" windowHeight="10420" activeTab="2" xr2:uid="{A99CCD8B-075E-42F9-86A6-4255FAA3ADEF}"/>
  </bookViews>
  <sheets>
    <sheet name="INICIO" sheetId="2" r:id="rId1"/>
    <sheet name="01. SECTORIAL" sheetId="3" r:id="rId2"/>
    <sheet name="01. INSTITUCIONAL" sheetId="4" r:id="rId3"/>
    <sheet name="02. PINAR" sheetId="5" r:id="rId4"/>
    <sheet name="03. PAA" sheetId="6" r:id="rId5"/>
    <sheet name="06. PETH" sheetId="7" r:id="rId6"/>
    <sheet name="07. PIC" sheetId="8" r:id="rId7"/>
    <sheet name="08. PII" sheetId="9" r:id="rId8"/>
    <sheet name="09. PSST" sheetId="10" r:id="rId9"/>
    <sheet name="10 PAAC" sheetId="11" r:id="rId10"/>
    <sheet name="11.PETI" sheetId="12" r:id="rId11"/>
    <sheet name="12. PTRSPI" sheetId="13" r:id="rId12"/>
    <sheet name="13.PSPI" sheetId="14" r:id="rId13"/>
  </sheets>
  <externalReferences>
    <externalReference r:id="rId14"/>
    <externalReference r:id="rId15"/>
    <externalReference r:id="rId16"/>
    <externalReference r:id="rId17"/>
    <externalReference r:id="rId18"/>
    <externalReference r:id="rId19"/>
  </externalReferences>
  <definedNames>
    <definedName name="_xlnm._FilterDatabase" localSheetId="2" hidden="1">'01. INSTITUCIONAL'!$A$12:$AL$45</definedName>
    <definedName name="_xlnm._FilterDatabase" localSheetId="1" hidden="1">'01. SECTORIAL'!$A$12:$AG$29</definedName>
    <definedName name="_xlnm._FilterDatabase" localSheetId="3" hidden="1">'02. PINAR'!$A$13:$AI$13</definedName>
    <definedName name="_xlnm._FilterDatabase" localSheetId="4" hidden="1">'03. PAA'!$A$11:$S$416</definedName>
    <definedName name="_xlnm._FilterDatabase" localSheetId="6" hidden="1">'07. PIC'!$A$13:$AM$13</definedName>
    <definedName name="_xlnm._FilterDatabase" localSheetId="7" hidden="1">'08. PII'!$A$12:$AG$13</definedName>
    <definedName name="_xlnm._FilterDatabase" localSheetId="8" hidden="1">'09. PSST'!$A$13:$AK$13</definedName>
    <definedName name="_xlnm._FilterDatabase" localSheetId="9" hidden="1">'10 PAAC'!$A$18:$AK$18</definedName>
    <definedName name="_xlnm._FilterDatabase" localSheetId="10" hidden="1">'11.PETI'!$A$12:$AI$13</definedName>
    <definedName name="_xlnm._FilterDatabase" localSheetId="12" hidden="1">'13.PSPI'!$A$13:$AG$21</definedName>
    <definedName name="Acciones_Categoría_3" localSheetId="5">'[1]Ponderaciones y parámetros'!$K$6:$N$6</definedName>
    <definedName name="Acciones_Categoría_3" localSheetId="6">'[1]Ponderaciones y parámetros'!$K$6:$N$6</definedName>
    <definedName name="Acciones_Categoría_3" localSheetId="7">'[1]Ponderaciones y parámetros'!$K$6:$N$6</definedName>
    <definedName name="Acciones_Categoría_3" localSheetId="8">'[1]Ponderaciones y parámetros'!$K$6:$N$6</definedName>
    <definedName name="Acciones_Categoría_3" localSheetId="9">'[1]Ponderaciones y parámetros'!$K$6:$N$6</definedName>
    <definedName name="Acciones_Categoría_3" localSheetId="10">'[1]Ponderaciones y parámetros'!$K$6:$N$6</definedName>
    <definedName name="Acciones_Categoría_3" localSheetId="11">'[1]Ponderaciones y parámetros'!$K$6:$N$6</definedName>
    <definedName name="Acciones_Categoría_3" localSheetId="12">'[1]Ponderaciones y parámetros'!$K$6:$N$6</definedName>
    <definedName name="Acciones_Categoría_3">#REF!</definedName>
    <definedName name="Admin" localSheetId="5">[2]TABLA!$Q$2:$Q$3</definedName>
    <definedName name="Admin" localSheetId="6">[2]TABLA!$Q$2:$Q$3</definedName>
    <definedName name="Admin" localSheetId="7">[2]TABLA!$Q$2:$Q$3</definedName>
    <definedName name="Admin" localSheetId="8">[2]TABLA!$Q$2:$Q$3</definedName>
    <definedName name="Admin" localSheetId="9">[2]TABLA!$Q$2:$Q$3</definedName>
    <definedName name="Admin" localSheetId="10">[2]TABLA!$Q$2:$Q$3</definedName>
    <definedName name="Admin" localSheetId="11">[2]TABLA!$Q$2:$Q$3</definedName>
    <definedName name="Admin" localSheetId="12">[2]TABLA!$Q$2:$Q$3</definedName>
    <definedName name="Admin">#REF!</definedName>
    <definedName name="Agricultura" localSheetId="5">[2]TABLA!#REF!</definedName>
    <definedName name="Agricultura" localSheetId="6">[2]TABLA!#REF!</definedName>
    <definedName name="Agricultura" localSheetId="7">[2]TABLA!#REF!</definedName>
    <definedName name="Agricultura" localSheetId="8">[2]TABLA!#REF!</definedName>
    <definedName name="Agricultura" localSheetId="9">[2]TABLA!#REF!</definedName>
    <definedName name="Agricultura" localSheetId="10">[2]TABLA!#REF!</definedName>
    <definedName name="Agricultura" localSheetId="11">[2]TABLA!#REF!</definedName>
    <definedName name="Agricultura" localSheetId="12">[2]TABLA!#REF!</definedName>
    <definedName name="Agricultura" localSheetId="0">#REF!</definedName>
    <definedName name="Agricultura">#REF!</definedName>
    <definedName name="Agricultura_y_Desarrollo_Rural" localSheetId="5">[2]TABLA!#REF!</definedName>
    <definedName name="Agricultura_y_Desarrollo_Rural" localSheetId="6">[2]TABLA!#REF!</definedName>
    <definedName name="Agricultura_y_Desarrollo_Rural" localSheetId="7">[2]TABLA!#REF!</definedName>
    <definedName name="Agricultura_y_Desarrollo_Rural" localSheetId="8">[2]TABLA!#REF!</definedName>
    <definedName name="Agricultura_y_Desarrollo_Rural" localSheetId="9">[2]TABLA!#REF!</definedName>
    <definedName name="Agricultura_y_Desarrollo_Rural" localSheetId="10">[2]TABLA!#REF!</definedName>
    <definedName name="Agricultura_y_Desarrollo_Rural" localSheetId="11">[2]TABLA!#REF!</definedName>
    <definedName name="Agricultura_y_Desarrollo_Rural" localSheetId="12">[2]TABLA!#REF!</definedName>
    <definedName name="Agricultura_y_Desarrollo_Rural" localSheetId="0">#REF!</definedName>
    <definedName name="Agricultura_y_Desarrollo_Rural">#REF!</definedName>
    <definedName name="Ambiental" localSheetId="5">'[2]Tablas instituciones'!$D$2:$D$9</definedName>
    <definedName name="Ambiental" localSheetId="6">'[2]Tablas instituciones'!$D$2:$D$9</definedName>
    <definedName name="Ambiental" localSheetId="7">'[2]Tablas instituciones'!$D$2:$D$9</definedName>
    <definedName name="Ambiental" localSheetId="8">'[2]Tablas instituciones'!$D$2:$D$9</definedName>
    <definedName name="Ambiental" localSheetId="9">'[2]Tablas instituciones'!$D$2:$D$9</definedName>
    <definedName name="Ambiental" localSheetId="10">'[2]Tablas instituciones'!$D$2:$D$9</definedName>
    <definedName name="Ambiental" localSheetId="11">'[2]Tablas instituciones'!$D$2:$D$9</definedName>
    <definedName name="Ambiental" localSheetId="12">'[2]Tablas instituciones'!$D$2:$D$9</definedName>
    <definedName name="Ambiental">#REF!</definedName>
    <definedName name="ambiente" localSheetId="5">[2]TABLA!#REF!</definedName>
    <definedName name="ambiente" localSheetId="6">[2]TABLA!#REF!</definedName>
    <definedName name="ambiente" localSheetId="7">[2]TABLA!#REF!</definedName>
    <definedName name="ambiente" localSheetId="8">[2]TABLA!#REF!</definedName>
    <definedName name="ambiente" localSheetId="9">[2]TABLA!#REF!</definedName>
    <definedName name="ambiente" localSheetId="10">[2]TABLA!#REF!</definedName>
    <definedName name="ambiente" localSheetId="11">[2]TABLA!#REF!</definedName>
    <definedName name="ambiente" localSheetId="12">[2]TABLA!#REF!</definedName>
    <definedName name="ambiente" localSheetId="0">#REF!</definedName>
    <definedName name="ambiente">#REF!</definedName>
    <definedName name="Ambiente_y_Desarrollo_Sostenible" localSheetId="5">[2]TABLA!#REF!</definedName>
    <definedName name="Ambiente_y_Desarrollo_Sostenible" localSheetId="6">[2]TABLA!#REF!</definedName>
    <definedName name="Ambiente_y_Desarrollo_Sostenible" localSheetId="7">[2]TABLA!#REF!</definedName>
    <definedName name="Ambiente_y_Desarrollo_Sostenible" localSheetId="8">[2]TABLA!#REF!</definedName>
    <definedName name="Ambiente_y_Desarrollo_Sostenible" localSheetId="9">[2]TABLA!#REF!</definedName>
    <definedName name="Ambiente_y_Desarrollo_Sostenible" localSheetId="10">[2]TABLA!#REF!</definedName>
    <definedName name="Ambiente_y_Desarrollo_Sostenible" localSheetId="11">[2]TABLA!#REF!</definedName>
    <definedName name="Ambiente_y_Desarrollo_Sostenible" localSheetId="12">[2]TABLA!#REF!</definedName>
    <definedName name="Ambiente_y_Desarrollo_Sostenible" localSheetId="0">#REF!</definedName>
    <definedName name="Ambiente_y_Desarrollo_Sostenible">#REF!</definedName>
    <definedName name="_xlnm.Print_Area" localSheetId="2">'01. INSTITUCIONAL'!$A$1:$AJ$46</definedName>
    <definedName name="_xlnm.Print_Area" localSheetId="1">'01. SECTORIAL'!$A$1:$AG$34</definedName>
    <definedName name="_xlnm.Print_Area" localSheetId="3">'02. PINAR'!$A$1:$AI$26</definedName>
    <definedName name="_xlnm.Print_Area" localSheetId="4">'03. PAA'!$A$1:$Z$416</definedName>
    <definedName name="_xlnm.Print_Area" localSheetId="5">'06. PETH'!$A$1:$AH$22</definedName>
    <definedName name="_xlnm.Print_Area" localSheetId="6">'07. PIC'!$A$1:$AM$43</definedName>
    <definedName name="_xlnm.Print_Area" localSheetId="7">'08. PII'!$A$1:$AG$26</definedName>
    <definedName name="_xlnm.Print_Area" localSheetId="8">'09. PSST'!$A$1:$AK$116</definedName>
    <definedName name="_xlnm.Print_Area" localSheetId="9">'10 PAAC'!$A$1:$AF$130</definedName>
    <definedName name="_xlnm.Print_Area" localSheetId="10">'11.PETI'!$A$1:$AI$35</definedName>
    <definedName name="_xlnm.Print_Area" localSheetId="0">INICIO!$A$1:$MS$80</definedName>
    <definedName name="Ciencia__Tecnología_e_innovación" localSheetId="5">[2]TABLA!#REF!</definedName>
    <definedName name="Ciencia__Tecnología_e_innovación" localSheetId="6">[2]TABLA!#REF!</definedName>
    <definedName name="Ciencia__Tecnología_e_innovación" localSheetId="7">[2]TABLA!#REF!</definedName>
    <definedName name="Ciencia__Tecnología_e_innovación" localSheetId="8">[2]TABLA!#REF!</definedName>
    <definedName name="Ciencia__Tecnología_e_innovación" localSheetId="9">[2]TABLA!#REF!</definedName>
    <definedName name="Ciencia__Tecnología_e_innovación" localSheetId="10">[2]TABLA!#REF!</definedName>
    <definedName name="Ciencia__Tecnología_e_innovación" localSheetId="11">[2]TABLA!#REF!</definedName>
    <definedName name="Ciencia__Tecnología_e_innovación" localSheetId="12">[2]TABLA!#REF!</definedName>
    <definedName name="Ciencia__Tecnología_e_innovación" localSheetId="0">#REF!</definedName>
    <definedName name="Ciencia__Tecnología_e_innovación">#REF!</definedName>
    <definedName name="clases1" localSheetId="5">[3]TABLA!$G$2:$G$5</definedName>
    <definedName name="clases1" localSheetId="6">[3]TABLA!$G$2:$G$5</definedName>
    <definedName name="clases1" localSheetId="7">[3]TABLA!$G$2:$G$5</definedName>
    <definedName name="clases1" localSheetId="8">[3]TABLA!$G$2:$G$5</definedName>
    <definedName name="clases1" localSheetId="9">[3]TABLA!$G$2:$G$5</definedName>
    <definedName name="clases1" localSheetId="10">[3]TABLA!$G$2:$G$5</definedName>
    <definedName name="clases1" localSheetId="11">[3]TABLA!$G$2:$G$5</definedName>
    <definedName name="clases1" localSheetId="12">[3]TABLA!$G$2:$G$5</definedName>
    <definedName name="clases1">#REF!</definedName>
    <definedName name="Comercio__Industria_y_Turismo" localSheetId="5">[2]TABLA!#REF!</definedName>
    <definedName name="Comercio__Industria_y_Turismo" localSheetId="6">[2]TABLA!#REF!</definedName>
    <definedName name="Comercio__Industria_y_Turismo" localSheetId="7">[2]TABLA!#REF!</definedName>
    <definedName name="Comercio__Industria_y_Turismo" localSheetId="8">[2]TABLA!#REF!</definedName>
    <definedName name="Comercio__Industria_y_Turismo" localSheetId="9">[2]TABLA!#REF!</definedName>
    <definedName name="Comercio__Industria_y_Turismo" localSheetId="10">[2]TABLA!#REF!</definedName>
    <definedName name="Comercio__Industria_y_Turismo" localSheetId="11">[2]TABLA!#REF!</definedName>
    <definedName name="Comercio__Industria_y_Turismo" localSheetId="12">[2]TABLA!#REF!</definedName>
    <definedName name="Comercio__Industria_y_Turismo" localSheetId="0">#REF!</definedName>
    <definedName name="Comercio__Industria_y_Turismo">#REF!</definedName>
    <definedName name="nindicador" localSheetId="5">[4]FICHA_DEL_INDICADOR!$AN$60:$AQ$60</definedName>
    <definedName name="nindicador" localSheetId="6">[4]FICHA_DEL_INDICADOR!$AN$60:$AQ$60</definedName>
    <definedName name="nindicador" localSheetId="7">[4]FICHA_DEL_INDICADOR!$AN$60:$AQ$60</definedName>
    <definedName name="nindicador" localSheetId="8">[4]FICHA_DEL_INDICADOR!$AN$60:$AQ$60</definedName>
    <definedName name="nindicador" localSheetId="9">[4]FICHA_DEL_INDICADOR!$AN$60:$AQ$60</definedName>
    <definedName name="nindicador" localSheetId="10">[4]FICHA_DEL_INDICADOR!$AN$60:$AQ$60</definedName>
    <definedName name="nindicador" localSheetId="11">[4]FICHA_DEL_INDICADOR!$AN$60:$AQ$60</definedName>
    <definedName name="nindicador" localSheetId="12">[4]FICHA_DEL_INDICADOR!$AN$60:$AQ$60</definedName>
    <definedName name="nindicador">#REF!</definedName>
    <definedName name="nivel" localSheetId="5">[2]TABLA!$C$2:$C$3</definedName>
    <definedName name="nivel" localSheetId="6">[2]TABLA!$C$2:$C$3</definedName>
    <definedName name="nivel" localSheetId="7">[2]TABLA!$C$2:$C$3</definedName>
    <definedName name="nivel" localSheetId="8">[2]TABLA!$C$2:$C$3</definedName>
    <definedName name="nivel" localSheetId="9">[2]TABLA!$C$2:$C$3</definedName>
    <definedName name="nivel" localSheetId="10">[2]TABLA!$C$2:$C$3</definedName>
    <definedName name="nivel" localSheetId="11">[2]TABLA!$C$2:$C$3</definedName>
    <definedName name="nivel" localSheetId="12">[2]TABLA!$C$2:$C$3</definedName>
    <definedName name="nivel">#REF!</definedName>
    <definedName name="Nombre" localSheetId="5">#REF!</definedName>
    <definedName name="Nombre" localSheetId="6">#REF!</definedName>
    <definedName name="Nombre" localSheetId="7">#REF!</definedName>
    <definedName name="Nombre" localSheetId="8">#REF!</definedName>
    <definedName name="Nombre" localSheetId="9">#REF!</definedName>
    <definedName name="Nombre" localSheetId="10">#REF!</definedName>
    <definedName name="Nombre" localSheetId="11">#REF!</definedName>
    <definedName name="Nombre" localSheetId="12">#REF!</definedName>
    <definedName name="Nombre" localSheetId="0">#REF!</definedName>
    <definedName name="Nombre">#REF!</definedName>
    <definedName name="PF" localSheetId="5">#REF!</definedName>
    <definedName name="PF" localSheetId="6">#REF!</definedName>
    <definedName name="PF" localSheetId="7">#REF!</definedName>
    <definedName name="PF" localSheetId="8">#REF!</definedName>
    <definedName name="PF" localSheetId="9">#REF!</definedName>
    <definedName name="PF" localSheetId="10">#REF!</definedName>
    <definedName name="PF" localSheetId="11">#REF!</definedName>
    <definedName name="PF" localSheetId="12">#REF!</definedName>
    <definedName name="PF" localSheetId="0">#REF!</definedName>
    <definedName name="PF">#REF!</definedName>
    <definedName name="Simulador" localSheetId="5">[1]Listas!$B$2:$B$4</definedName>
    <definedName name="Simulador" localSheetId="6">[1]Listas!$B$2:$B$4</definedName>
    <definedName name="Simulador" localSheetId="7">[1]Listas!$B$2:$B$4</definedName>
    <definedName name="Simulador" localSheetId="8">[1]Listas!$B$2:$B$4</definedName>
    <definedName name="Simulador" localSheetId="9">[1]Listas!$B$2:$B$4</definedName>
    <definedName name="Simulador" localSheetId="10">[1]Listas!$B$2:$B$4</definedName>
    <definedName name="Simulador" localSheetId="11">[1]Listas!$B$2:$B$4</definedName>
    <definedName name="Simulador" localSheetId="12">[1]Listas!$B$2:$B$4</definedName>
    <definedName name="Simulador">#REF!</definedName>
    <definedName name="Tipo_acumulación" localSheetId="5">[5]Hoja2!$D$8:$D$10</definedName>
    <definedName name="Tipo_acumulación" localSheetId="6">[5]Hoja2!$D$8:$D$10</definedName>
    <definedName name="Tipo_acumulación" localSheetId="7">[5]Hoja2!$D$8:$D$10</definedName>
    <definedName name="Tipo_acumulación" localSheetId="8">[5]Hoja2!$D$8:$D$10</definedName>
    <definedName name="Tipo_acumulación" localSheetId="9">[5]Hoja2!$D$8:$D$10</definedName>
    <definedName name="Tipo_acumulación" localSheetId="10">[5]Hoja2!$D$8:$D$10</definedName>
    <definedName name="Tipo_acumulación" localSheetId="11">[5]Hoja2!$D$8:$D$10</definedName>
    <definedName name="Tipo_acumulación" localSheetId="12">[5]Hoja2!$D$8:$D$10</definedName>
    <definedName name="Tipo_acumulación">#REF!</definedName>
    <definedName name="Tipo_indicador" localSheetId="5">[5]Hoja2!$A$8:$A$10</definedName>
    <definedName name="Tipo_indicador" localSheetId="6">[5]Hoja2!$A$8:$A$10</definedName>
    <definedName name="Tipo_indicador" localSheetId="7">[5]Hoja2!$A$8:$A$10</definedName>
    <definedName name="Tipo_indicador" localSheetId="8">[5]Hoja2!$A$8:$A$10</definedName>
    <definedName name="Tipo_indicador" localSheetId="9">[5]Hoja2!$A$8:$A$10</definedName>
    <definedName name="Tipo_indicador" localSheetId="10">[5]Hoja2!$A$8:$A$10</definedName>
    <definedName name="Tipo_indicador" localSheetId="11">[5]Hoja2!$A$8:$A$10</definedName>
    <definedName name="Tipo_indicador" localSheetId="12">[5]Hoja2!$A$8:$A$10</definedName>
    <definedName name="Tipo_indicador">#REF!</definedName>
    <definedName name="Tipos" localSheetId="5">[2]TABLA!$G$2:$G$4</definedName>
    <definedName name="Tipos" localSheetId="6">[2]TABLA!$G$2:$G$4</definedName>
    <definedName name="Tipos" localSheetId="7">[2]TABLA!$G$2:$G$4</definedName>
    <definedName name="Tipos" localSheetId="8">[2]TABLA!$G$2:$G$4</definedName>
    <definedName name="Tipos" localSheetId="9">[2]TABLA!$G$2:$G$4</definedName>
    <definedName name="Tipos" localSheetId="10">[2]TABLA!$G$2:$G$4</definedName>
    <definedName name="Tipos" localSheetId="11">[2]TABLA!$G$2:$G$4</definedName>
    <definedName name="Tipos" localSheetId="12">[2]TABLA!$G$2:$G$4</definedName>
    <definedName name="Tipos">#REF!</definedName>
    <definedName name="vice" localSheetId="5">'[6]referencia 2018'!$A$1:$A$8</definedName>
    <definedName name="vice" localSheetId="6">'[6]referencia 2018'!$A$1:$A$8</definedName>
    <definedName name="vice" localSheetId="7">'[6]referencia 2018'!$A$1:$A$8</definedName>
    <definedName name="vice" localSheetId="8">'[6]referencia 2018'!$A$1:$A$8</definedName>
    <definedName name="vice" localSheetId="9">'[6]referencia 2018'!$A$1:$A$8</definedName>
    <definedName name="vice" localSheetId="10">'[6]referencia 2018'!$A$1:$A$8</definedName>
    <definedName name="vice" localSheetId="11">'[6]referencia 2018'!$A$1:$A$8</definedName>
    <definedName name="vice" localSheetId="12">'[6]referencia 2018'!$A$1:$A$8</definedName>
    <definedName name="vice">#REF!</definedName>
    <definedName name="vpauto" localSheetId="5">#REF!</definedName>
    <definedName name="vpauto" localSheetId="6">#REF!</definedName>
    <definedName name="vpauto" localSheetId="7">#REF!</definedName>
    <definedName name="vpauto" localSheetId="8">#REF!</definedName>
    <definedName name="vpauto" localSheetId="9">#REF!</definedName>
    <definedName name="vpauto" localSheetId="10">#REF!</definedName>
    <definedName name="vpauto" localSheetId="11">#REF!</definedName>
    <definedName name="vpauto" localSheetId="12">#REF!</definedName>
    <definedName name="vpauto" localSheetId="0">#REF!</definedName>
    <definedName name="vpau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2" i="11" l="1"/>
  <c r="Y12" i="11"/>
  <c r="S12" i="11"/>
  <c r="T67" i="11"/>
  <c r="S67" i="11"/>
  <c r="S66" i="11" s="1"/>
  <c r="T66" i="11"/>
  <c r="T65" i="11"/>
  <c r="S65" i="11"/>
  <c r="S64" i="11" s="1"/>
  <c r="T64" i="11"/>
  <c r="T63" i="11"/>
  <c r="S63" i="11"/>
  <c r="T62" i="11"/>
  <c r="T61" i="11"/>
  <c r="S61" i="11"/>
  <c r="T60" i="11"/>
  <c r="S60" i="11" s="1"/>
  <c r="T59" i="11"/>
  <c r="S59" i="11"/>
  <c r="T58" i="11"/>
  <c r="T57" i="11"/>
  <c r="S57" i="11"/>
  <c r="T56" i="11"/>
  <c r="T55" i="11"/>
  <c r="S55" i="11"/>
  <c r="S54" i="11" s="1"/>
  <c r="T54" i="11"/>
  <c r="T53" i="11"/>
  <c r="S53" i="11"/>
  <c r="S52" i="11" s="1"/>
  <c r="T52" i="11"/>
  <c r="T51" i="11"/>
  <c r="S51" i="11"/>
  <c r="S50" i="11" s="1"/>
  <c r="T50" i="11"/>
  <c r="T49" i="11"/>
  <c r="S49" i="11"/>
  <c r="T48" i="11"/>
  <c r="S48" i="11" s="1"/>
  <c r="T47" i="11"/>
  <c r="S47" i="11"/>
  <c r="S46" i="11" s="1"/>
  <c r="T46" i="11"/>
  <c r="T45" i="11"/>
  <c r="S45" i="11"/>
  <c r="T44" i="11"/>
  <c r="T43" i="11"/>
  <c r="S43" i="11"/>
  <c r="T42" i="11"/>
  <c r="T41" i="11"/>
  <c r="S41" i="11"/>
  <c r="S40" i="11" s="1"/>
  <c r="T40" i="11"/>
  <c r="T39" i="11"/>
  <c r="S39" i="11"/>
  <c r="S38" i="11" s="1"/>
  <c r="T38" i="11"/>
  <c r="T37" i="11"/>
  <c r="S37" i="11"/>
  <c r="S36" i="11" s="1"/>
  <c r="T36" i="11"/>
  <c r="T35" i="11"/>
  <c r="S35" i="11"/>
  <c r="S34" i="11" s="1"/>
  <c r="T34" i="11"/>
  <c r="T33" i="11"/>
  <c r="S33" i="11"/>
  <c r="S32" i="11" s="1"/>
  <c r="T32" i="11"/>
  <c r="T31" i="11"/>
  <c r="S31" i="11"/>
  <c r="T30" i="11"/>
  <c r="S30" i="11"/>
  <c r="T29" i="11"/>
  <c r="S29" i="11"/>
  <c r="T28" i="11"/>
  <c r="S28" i="11" s="1"/>
  <c r="T27" i="11"/>
  <c r="S27" i="11"/>
  <c r="S26" i="11" s="1"/>
  <c r="T26" i="11"/>
  <c r="T25" i="11"/>
  <c r="S25" i="11"/>
  <c r="T24" i="11"/>
  <c r="S24" i="11"/>
  <c r="T23" i="11"/>
  <c r="S23" i="11"/>
  <c r="T22" i="11"/>
  <c r="S21" i="11"/>
  <c r="S42" i="11" l="1"/>
  <c r="S44" i="11"/>
  <c r="S56" i="11"/>
  <c r="S58" i="11"/>
  <c r="S62" i="11"/>
  <c r="S22" i="11"/>
  <c r="J12" i="11"/>
  <c r="AF6" i="14" l="1"/>
  <c r="AD6" i="14"/>
  <c r="V6" i="14"/>
  <c r="O6" i="14"/>
  <c r="Q21" i="14"/>
  <c r="P21" i="14"/>
  <c r="Q20" i="14"/>
  <c r="P20" i="14" s="1"/>
  <c r="Q19" i="14"/>
  <c r="P19" i="14"/>
  <c r="Q18" i="14"/>
  <c r="Q17" i="14"/>
  <c r="P17" i="14"/>
  <c r="Q16" i="14"/>
  <c r="P15" i="14"/>
  <c r="AH6" i="12"/>
  <c r="AF6" i="12"/>
  <c r="X6" i="12"/>
  <c r="Q6" i="12"/>
  <c r="R23" i="12"/>
  <c r="R21" i="12"/>
  <c r="R19" i="12"/>
  <c r="R17" i="12"/>
  <c r="R15" i="12"/>
  <c r="T21" i="11"/>
  <c r="T20" i="11"/>
  <c r="G6" i="10"/>
  <c r="AJ6" i="10"/>
  <c r="AG6" i="10"/>
  <c r="Y6" i="10"/>
  <c r="R6" i="10"/>
  <c r="V6" i="9"/>
  <c r="T6" i="8"/>
  <c r="T115" i="10"/>
  <c r="S115" i="10"/>
  <c r="T114" i="10"/>
  <c r="S114" i="10" s="1"/>
  <c r="T113" i="10"/>
  <c r="S113" i="10"/>
  <c r="T112" i="10"/>
  <c r="T111" i="10"/>
  <c r="S111" i="10"/>
  <c r="T110" i="10"/>
  <c r="T109" i="10"/>
  <c r="S109" i="10"/>
  <c r="T108" i="10"/>
  <c r="S108" i="10" s="1"/>
  <c r="T107" i="10"/>
  <c r="S107" i="10"/>
  <c r="T106" i="10"/>
  <c r="S106" i="10" s="1"/>
  <c r="T105" i="10"/>
  <c r="S105" i="10"/>
  <c r="T104" i="10"/>
  <c r="S104" i="10" s="1"/>
  <c r="T103" i="10"/>
  <c r="S103" i="10"/>
  <c r="T102" i="10"/>
  <c r="T101" i="10"/>
  <c r="S101" i="10"/>
  <c r="T100" i="10"/>
  <c r="S100" i="10"/>
  <c r="T99" i="10"/>
  <c r="S99" i="10"/>
  <c r="T98" i="10"/>
  <c r="T97" i="10"/>
  <c r="S97" i="10"/>
  <c r="T96" i="10"/>
  <c r="T95" i="10"/>
  <c r="S95" i="10"/>
  <c r="T94" i="10"/>
  <c r="S94" i="10" s="1"/>
  <c r="T93" i="10"/>
  <c r="S93" i="10"/>
  <c r="T92" i="10"/>
  <c r="S92" i="10"/>
  <c r="T91" i="10"/>
  <c r="S91" i="10"/>
  <c r="T90" i="10"/>
  <c r="T89" i="10"/>
  <c r="S89" i="10"/>
  <c r="T88" i="10"/>
  <c r="S88" i="10"/>
  <c r="T87" i="10"/>
  <c r="S87" i="10"/>
  <c r="T86" i="10"/>
  <c r="S86" i="10" s="1"/>
  <c r="T85" i="10"/>
  <c r="S85" i="10"/>
  <c r="T84" i="10"/>
  <c r="S84" i="10" s="1"/>
  <c r="T83" i="10"/>
  <c r="S83" i="10"/>
  <c r="T82" i="10"/>
  <c r="S82" i="10" s="1"/>
  <c r="T81" i="10"/>
  <c r="S81" i="10"/>
  <c r="T80" i="10"/>
  <c r="S80" i="10" s="1"/>
  <c r="T79" i="10"/>
  <c r="S79" i="10"/>
  <c r="T78" i="10"/>
  <c r="S78" i="10" s="1"/>
  <c r="T77" i="10"/>
  <c r="S77" i="10"/>
  <c r="T76" i="10"/>
  <c r="T75" i="10"/>
  <c r="S75" i="10"/>
  <c r="T74" i="10"/>
  <c r="S74" i="10" s="1"/>
  <c r="T73" i="10"/>
  <c r="S73" i="10"/>
  <c r="T72" i="10"/>
  <c r="T71" i="10"/>
  <c r="S71" i="10"/>
  <c r="T70" i="10"/>
  <c r="S70" i="10" s="1"/>
  <c r="T69" i="10"/>
  <c r="S69" i="10"/>
  <c r="T68" i="10"/>
  <c r="S68" i="10" s="1"/>
  <c r="T67" i="10"/>
  <c r="S67" i="10"/>
  <c r="T66" i="10"/>
  <c r="S66" i="10" s="1"/>
  <c r="T65" i="10"/>
  <c r="S65" i="10"/>
  <c r="T64" i="10"/>
  <c r="S64" i="10" s="1"/>
  <c r="T63" i="10"/>
  <c r="S63" i="10"/>
  <c r="T62" i="10"/>
  <c r="T61" i="10"/>
  <c r="S61" i="10"/>
  <c r="T60" i="10"/>
  <c r="S60" i="10" s="1"/>
  <c r="T59" i="10"/>
  <c r="S59" i="10"/>
  <c r="T58" i="10"/>
  <c r="T57" i="10"/>
  <c r="S57" i="10"/>
  <c r="T56" i="10"/>
  <c r="S56" i="10" s="1"/>
  <c r="T55" i="10"/>
  <c r="S55" i="10"/>
  <c r="T54" i="10"/>
  <c r="S54" i="10" s="1"/>
  <c r="T53" i="10"/>
  <c r="S53" i="10"/>
  <c r="T52" i="10"/>
  <c r="S52" i="10" s="1"/>
  <c r="T51" i="10"/>
  <c r="S51" i="10"/>
  <c r="T50" i="10"/>
  <c r="S50" i="10" s="1"/>
  <c r="T49" i="10"/>
  <c r="S49" i="10"/>
  <c r="T48" i="10"/>
  <c r="S48" i="10" s="1"/>
  <c r="T47" i="10"/>
  <c r="S47" i="10"/>
  <c r="T46" i="10"/>
  <c r="S46" i="10" s="1"/>
  <c r="T45" i="10"/>
  <c r="S45" i="10"/>
  <c r="T44" i="10"/>
  <c r="T43" i="10"/>
  <c r="S43" i="10"/>
  <c r="T42" i="10"/>
  <c r="S42" i="10" s="1"/>
  <c r="T41" i="10"/>
  <c r="S41" i="10"/>
  <c r="T40" i="10"/>
  <c r="S40" i="10" s="1"/>
  <c r="T39" i="10"/>
  <c r="S39" i="10"/>
  <c r="T38" i="10"/>
  <c r="T37" i="10"/>
  <c r="S37" i="10"/>
  <c r="T36" i="10"/>
  <c r="S36" i="10"/>
  <c r="T35" i="10"/>
  <c r="S35" i="10"/>
  <c r="T34" i="10"/>
  <c r="T33" i="10"/>
  <c r="S33" i="10"/>
  <c r="T32" i="10"/>
  <c r="S32" i="10" s="1"/>
  <c r="T31" i="10"/>
  <c r="S31" i="10"/>
  <c r="T30" i="10"/>
  <c r="S30" i="10" s="1"/>
  <c r="T29" i="10"/>
  <c r="S29" i="10"/>
  <c r="T28" i="10"/>
  <c r="S28" i="10" s="1"/>
  <c r="T27" i="10"/>
  <c r="S27" i="10"/>
  <c r="T26" i="10"/>
  <c r="S26" i="10" s="1"/>
  <c r="T25" i="10"/>
  <c r="S25" i="10"/>
  <c r="T24" i="10"/>
  <c r="S24" i="10" s="1"/>
  <c r="T23" i="10"/>
  <c r="S23" i="10"/>
  <c r="T22" i="10"/>
  <c r="S22" i="10" s="1"/>
  <c r="T21" i="10"/>
  <c r="S21" i="10"/>
  <c r="T20" i="10"/>
  <c r="T19" i="10"/>
  <c r="S19" i="10"/>
  <c r="T18" i="10"/>
  <c r="T17" i="10"/>
  <c r="S17" i="10"/>
  <c r="T16" i="10"/>
  <c r="S16" i="10" s="1"/>
  <c r="S15" i="10"/>
  <c r="Q18" i="13"/>
  <c r="P18" i="13" s="1"/>
  <c r="Q19" i="13"/>
  <c r="P19" i="13"/>
  <c r="Q16" i="13"/>
  <c r="P16" i="13" s="1"/>
  <c r="Q17" i="13"/>
  <c r="P17" i="13"/>
  <c r="Q14" i="13"/>
  <c r="O6" i="9"/>
  <c r="P6" i="8"/>
  <c r="V6" i="7"/>
  <c r="P6" i="7"/>
  <c r="H6" i="6"/>
  <c r="G6" i="7"/>
  <c r="AH6" i="5"/>
  <c r="AE6" i="5"/>
  <c r="W6" i="5"/>
  <c r="P6" i="5"/>
  <c r="AF6" i="4"/>
  <c r="AI6" i="4"/>
  <c r="X6" i="4"/>
  <c r="V32" i="4"/>
  <c r="V28" i="4"/>
  <c r="AD6" i="3"/>
  <c r="V6" i="3"/>
  <c r="O6" i="3"/>
  <c r="R45" i="4"/>
  <c r="R43" i="4"/>
  <c r="R41" i="4"/>
  <c r="R39" i="4"/>
  <c r="R37" i="4"/>
  <c r="R35" i="4"/>
  <c r="R33" i="4"/>
  <c r="R31" i="4"/>
  <c r="R29" i="4"/>
  <c r="R27" i="4"/>
  <c r="R25" i="4"/>
  <c r="R23" i="4"/>
  <c r="R21" i="4"/>
  <c r="R19" i="4"/>
  <c r="R17" i="4"/>
  <c r="R15" i="4"/>
  <c r="P6" i="13" l="1"/>
  <c r="P18" i="14"/>
  <c r="P16" i="14"/>
  <c r="G6" i="14"/>
  <c r="G6" i="12"/>
  <c r="S20" i="11"/>
  <c r="M12" i="11" s="1"/>
  <c r="S18" i="10"/>
  <c r="S44" i="10"/>
  <c r="S90" i="10"/>
  <c r="S20" i="10"/>
  <c r="S58" i="10"/>
  <c r="S34" i="10"/>
  <c r="S62" i="10"/>
  <c r="S72" i="10"/>
  <c r="S98" i="10"/>
  <c r="S112" i="10"/>
  <c r="S38" i="10"/>
  <c r="S76" i="10"/>
  <c r="S102" i="10"/>
  <c r="S96" i="10"/>
  <c r="S110" i="10"/>
  <c r="G6" i="4"/>
  <c r="S19" i="12" l="1"/>
  <c r="S45" i="4"/>
  <c r="S44" i="4"/>
  <c r="R44" i="4" s="1"/>
  <c r="S43" i="4"/>
  <c r="S42" i="4"/>
  <c r="S41" i="4"/>
  <c r="S40" i="4"/>
  <c r="R40" i="4" s="1"/>
  <c r="S39" i="4"/>
  <c r="S38" i="4"/>
  <c r="S37" i="4"/>
  <c r="S36" i="4"/>
  <c r="R36" i="4" s="1"/>
  <c r="S35" i="4"/>
  <c r="S34" i="4"/>
  <c r="S33" i="4"/>
  <c r="S32" i="4"/>
  <c r="R32" i="4" s="1"/>
  <c r="S31" i="4"/>
  <c r="S30" i="4"/>
  <c r="R30" i="4" s="1"/>
  <c r="S29" i="4"/>
  <c r="S28" i="4"/>
  <c r="S27" i="4"/>
  <c r="S26" i="4"/>
  <c r="R26" i="4" s="1"/>
  <c r="S25" i="4"/>
  <c r="S24" i="4"/>
  <c r="R24" i="4" s="1"/>
  <c r="S23" i="4"/>
  <c r="S22" i="4"/>
  <c r="S21" i="4"/>
  <c r="S20" i="4"/>
  <c r="R20" i="4" s="1"/>
  <c r="S19" i="4"/>
  <c r="S17" i="4"/>
  <c r="S16" i="4"/>
  <c r="R28" i="4" l="1"/>
  <c r="R34" i="4"/>
  <c r="R38" i="4"/>
  <c r="R42" i="4"/>
  <c r="R16" i="4"/>
  <c r="R22" i="4"/>
  <c r="U18" i="4"/>
  <c r="V18" i="4"/>
  <c r="T18" i="4"/>
  <c r="Q25" i="9"/>
  <c r="Q23" i="9"/>
  <c r="Q21" i="9"/>
  <c r="Q19" i="9"/>
  <c r="Q17" i="9"/>
  <c r="Q15" i="9"/>
  <c r="P31" i="3"/>
  <c r="P29" i="3"/>
  <c r="P27" i="3"/>
  <c r="P25" i="3"/>
  <c r="P23" i="3"/>
  <c r="P21" i="3"/>
  <c r="P19" i="3"/>
  <c r="P17" i="3"/>
  <c r="P15" i="3"/>
  <c r="G6" i="3" s="1"/>
  <c r="J39" i="14"/>
  <c r="J38" i="14"/>
  <c r="J40" i="14" s="1"/>
  <c r="X27" i="14"/>
  <c r="AA28" i="14" s="1"/>
  <c r="R27" i="14"/>
  <c r="X23" i="14"/>
  <c r="AA24" i="14" s="1"/>
  <c r="R23" i="14"/>
  <c r="U23" i="14"/>
  <c r="Q15" i="14"/>
  <c r="AC27" i="14"/>
  <c r="Q14" i="14"/>
  <c r="P14" i="14" s="1"/>
  <c r="J6" i="14" s="1"/>
  <c r="J38" i="13"/>
  <c r="J37" i="13"/>
  <c r="J36" i="13"/>
  <c r="AB25" i="13"/>
  <c r="V25" i="13"/>
  <c r="P25" i="13"/>
  <c r="S26" i="13" s="1"/>
  <c r="AA21" i="13"/>
  <c r="U21" i="13"/>
  <c r="O21" i="13"/>
  <c r="Q15" i="13"/>
  <c r="P15" i="13"/>
  <c r="AA25" i="13" s="1"/>
  <c r="J33" i="12"/>
  <c r="J32" i="12"/>
  <c r="J34" i="12" s="1"/>
  <c r="AC30" i="12"/>
  <c r="Q30" i="12"/>
  <c r="AC29" i="12"/>
  <c r="Q29" i="12"/>
  <c r="AC28" i="12"/>
  <c r="Y28" i="12"/>
  <c r="U28" i="12"/>
  <c r="Q28" i="12"/>
  <c r="AC27" i="12"/>
  <c r="Y27" i="12"/>
  <c r="U27" i="12"/>
  <c r="Q27" i="12"/>
  <c r="AE26" i="12"/>
  <c r="AD26" i="12"/>
  <c r="AC26" i="12"/>
  <c r="AB26" i="12"/>
  <c r="AA26" i="12"/>
  <c r="Z26" i="12"/>
  <c r="Y26" i="12"/>
  <c r="X26" i="12"/>
  <c r="W26" i="12"/>
  <c r="V26" i="12"/>
  <c r="U26" i="12"/>
  <c r="T26" i="12"/>
  <c r="S26" i="12"/>
  <c r="R26" i="12"/>
  <c r="Q26" i="12"/>
  <c r="P26" i="12"/>
  <c r="AE25" i="12"/>
  <c r="AD25" i="12"/>
  <c r="AC25" i="12"/>
  <c r="AB25" i="12"/>
  <c r="AA25" i="12"/>
  <c r="Z25" i="12"/>
  <c r="Y25" i="12"/>
  <c r="X25" i="12"/>
  <c r="W25" i="12"/>
  <c r="V25" i="12"/>
  <c r="U25" i="12"/>
  <c r="T25" i="12"/>
  <c r="S25" i="12"/>
  <c r="R25" i="12"/>
  <c r="Q25" i="12"/>
  <c r="P25" i="12"/>
  <c r="AC24" i="12"/>
  <c r="S23" i="12"/>
  <c r="S22" i="12"/>
  <c r="R22" i="12" s="1"/>
  <c r="S21" i="12"/>
  <c r="S20" i="12"/>
  <c r="S18" i="12"/>
  <c r="R18" i="12" s="1"/>
  <c r="S17" i="12"/>
  <c r="S16" i="12"/>
  <c r="R16" i="12" s="1"/>
  <c r="S15" i="12"/>
  <c r="S14" i="12"/>
  <c r="T15" i="10"/>
  <c r="T14" i="10"/>
  <c r="S14" i="10" s="1"/>
  <c r="R25" i="9"/>
  <c r="R24" i="9"/>
  <c r="R23" i="9"/>
  <c r="R22" i="9"/>
  <c r="R21" i="9"/>
  <c r="R20" i="9"/>
  <c r="Q20" i="9" s="1"/>
  <c r="R19" i="9"/>
  <c r="R18" i="9"/>
  <c r="R17" i="9"/>
  <c r="R16" i="9"/>
  <c r="R15" i="9"/>
  <c r="R14" i="9"/>
  <c r="J45" i="8"/>
  <c r="J44" i="8"/>
  <c r="J46" i="8" s="1"/>
  <c r="V38" i="8"/>
  <c r="O38" i="8"/>
  <c r="AH30" i="8"/>
  <c r="AD30" i="8"/>
  <c r="V30" i="8"/>
  <c r="X29" i="8"/>
  <c r="W29" i="8"/>
  <c r="AG38" i="8" s="1"/>
  <c r="X28" i="8"/>
  <c r="X27" i="8"/>
  <c r="X26" i="8" s="1"/>
  <c r="W27" i="8"/>
  <c r="X25" i="8"/>
  <c r="X24" i="8" s="1"/>
  <c r="W25" i="8"/>
  <c r="W23" i="8"/>
  <c r="X22" i="8"/>
  <c r="X21" i="8"/>
  <c r="W21" i="8"/>
  <c r="X20" i="8"/>
  <c r="W20" i="8"/>
  <c r="X19" i="8"/>
  <c r="W19" i="8"/>
  <c r="W18" i="8" s="1"/>
  <c r="X18" i="8"/>
  <c r="X17" i="8"/>
  <c r="X16" i="8" s="1"/>
  <c r="W17" i="8"/>
  <c r="X15" i="8"/>
  <c r="W15" i="8"/>
  <c r="J39" i="7"/>
  <c r="J38" i="7"/>
  <c r="J40" i="7" s="1"/>
  <c r="AB27" i="7"/>
  <c r="Z27" i="7"/>
  <c r="V27" i="7"/>
  <c r="T27" i="7"/>
  <c r="W28" i="7" s="1"/>
  <c r="P27" i="7"/>
  <c r="S28" i="7" s="1"/>
  <c r="AA23" i="7"/>
  <c r="Y23" i="7"/>
  <c r="U23" i="7"/>
  <c r="S23" i="7"/>
  <c r="O23" i="7"/>
  <c r="Q21" i="7"/>
  <c r="P21" i="7"/>
  <c r="Q20" i="7"/>
  <c r="Q19" i="7"/>
  <c r="P19" i="7"/>
  <c r="Q18" i="7"/>
  <c r="P18" i="7" s="1"/>
  <c r="Q17" i="7"/>
  <c r="P17" i="7"/>
  <c r="Q16" i="7"/>
  <c r="P16" i="7" s="1"/>
  <c r="Q15" i="7"/>
  <c r="P15" i="7"/>
  <c r="AA27" i="7" s="1"/>
  <c r="Q14" i="7"/>
  <c r="M415" i="6"/>
  <c r="N415" i="6" s="1"/>
  <c r="Q415" i="6" s="1"/>
  <c r="W415" i="6" s="1"/>
  <c r="M414" i="6"/>
  <c r="N414" i="6" s="1"/>
  <c r="Q414" i="6" s="1"/>
  <c r="W414" i="6" s="1"/>
  <c r="M413" i="6"/>
  <c r="N413" i="6" s="1"/>
  <c r="Q413" i="6" s="1"/>
  <c r="W413" i="6" s="1"/>
  <c r="M412" i="6"/>
  <c r="N412" i="6" s="1"/>
  <c r="Q412" i="6" s="1"/>
  <c r="W412" i="6" s="1"/>
  <c r="M411" i="6"/>
  <c r="N411" i="6" s="1"/>
  <c r="Q411" i="6" s="1"/>
  <c r="W411" i="6" s="1"/>
  <c r="M410" i="6"/>
  <c r="N410" i="6" s="1"/>
  <c r="Q410" i="6" s="1"/>
  <c r="W410" i="6" s="1"/>
  <c r="M409" i="6"/>
  <c r="N409" i="6" s="1"/>
  <c r="Q409" i="6" s="1"/>
  <c r="W409" i="6" s="1"/>
  <c r="M408" i="6"/>
  <c r="N408" i="6" s="1"/>
  <c r="Q408" i="6" s="1"/>
  <c r="W408" i="6" s="1"/>
  <c r="M407" i="6"/>
  <c r="N407" i="6" s="1"/>
  <c r="Q407" i="6" s="1"/>
  <c r="W407" i="6" s="1"/>
  <c r="M406" i="6"/>
  <c r="N406" i="6" s="1"/>
  <c r="Q406" i="6" s="1"/>
  <c r="W406" i="6" s="1"/>
  <c r="M405" i="6"/>
  <c r="N405" i="6" s="1"/>
  <c r="Q405" i="6" s="1"/>
  <c r="W405" i="6" s="1"/>
  <c r="M404" i="6"/>
  <c r="N404" i="6" s="1"/>
  <c r="Q404" i="6" s="1"/>
  <c r="W404" i="6" s="1"/>
  <c r="M403" i="6"/>
  <c r="N403" i="6" s="1"/>
  <c r="Q403" i="6" s="1"/>
  <c r="W403" i="6" s="1"/>
  <c r="M402" i="6"/>
  <c r="N402" i="6" s="1"/>
  <c r="Q402" i="6" s="1"/>
  <c r="W402" i="6" s="1"/>
  <c r="M401" i="6"/>
  <c r="N401" i="6" s="1"/>
  <c r="Q401" i="6" s="1"/>
  <c r="W401" i="6" s="1"/>
  <c r="M400" i="6"/>
  <c r="N400" i="6" s="1"/>
  <c r="Q400" i="6" s="1"/>
  <c r="W400" i="6" s="1"/>
  <c r="W399" i="6"/>
  <c r="M399" i="6"/>
  <c r="N399" i="6" s="1"/>
  <c r="Q399" i="6" s="1"/>
  <c r="W398" i="6"/>
  <c r="M398" i="6"/>
  <c r="N398" i="6" s="1"/>
  <c r="Q398" i="6" s="1"/>
  <c r="W397" i="6"/>
  <c r="M397" i="6"/>
  <c r="N397" i="6" s="1"/>
  <c r="Q397" i="6" s="1"/>
  <c r="M396" i="6"/>
  <c r="N396" i="6" s="1"/>
  <c r="Q396" i="6" s="1"/>
  <c r="W396" i="6" s="1"/>
  <c r="M395" i="6"/>
  <c r="N395" i="6" s="1"/>
  <c r="Q395" i="6" s="1"/>
  <c r="W395" i="6" s="1"/>
  <c r="M394" i="6"/>
  <c r="N394" i="6" s="1"/>
  <c r="M393" i="6"/>
  <c r="N393" i="6" s="1"/>
  <c r="Q393" i="6" s="1"/>
  <c r="W393" i="6" s="1"/>
  <c r="M392" i="6"/>
  <c r="N392" i="6" s="1"/>
  <c r="Q392" i="6" s="1"/>
  <c r="W392" i="6" s="1"/>
  <c r="M391" i="6"/>
  <c r="N391" i="6" s="1"/>
  <c r="Q391" i="6" s="1"/>
  <c r="W391" i="6" s="1"/>
  <c r="M390" i="6"/>
  <c r="N390" i="6" s="1"/>
  <c r="Q390" i="6" s="1"/>
  <c r="W390" i="6" s="1"/>
  <c r="M389" i="6"/>
  <c r="N389" i="6" s="1"/>
  <c r="Q389" i="6" s="1"/>
  <c r="W389" i="6" s="1"/>
  <c r="M388" i="6"/>
  <c r="N388" i="6" s="1"/>
  <c r="Q388" i="6" s="1"/>
  <c r="W388" i="6" s="1"/>
  <c r="M387" i="6"/>
  <c r="N387" i="6" s="1"/>
  <c r="Q387" i="6" s="1"/>
  <c r="W387" i="6" s="1"/>
  <c r="M386" i="6"/>
  <c r="N386" i="6" s="1"/>
  <c r="Q386" i="6" s="1"/>
  <c r="W386" i="6" s="1"/>
  <c r="W385" i="6"/>
  <c r="M385" i="6"/>
  <c r="N385" i="6" s="1"/>
  <c r="Q385" i="6" s="1"/>
  <c r="W384" i="6"/>
  <c r="M384" i="6"/>
  <c r="N384" i="6" s="1"/>
  <c r="Q384" i="6" s="1"/>
  <c r="M383" i="6"/>
  <c r="N383" i="6" s="1"/>
  <c r="Q383" i="6" s="1"/>
  <c r="W383" i="6" s="1"/>
  <c r="M382" i="6"/>
  <c r="N382" i="6" s="1"/>
  <c r="Q382" i="6" s="1"/>
  <c r="W382" i="6" s="1"/>
  <c r="W381" i="6"/>
  <c r="M381" i="6"/>
  <c r="N381" i="6" s="1"/>
  <c r="Q381" i="6" s="1"/>
  <c r="W380" i="6"/>
  <c r="M380" i="6"/>
  <c r="N380" i="6" s="1"/>
  <c r="Q380" i="6" s="1"/>
  <c r="M379" i="6"/>
  <c r="N379" i="6" s="1"/>
  <c r="Q379" i="6" s="1"/>
  <c r="W379" i="6" s="1"/>
  <c r="M378" i="6"/>
  <c r="N378" i="6" s="1"/>
  <c r="Q378" i="6" s="1"/>
  <c r="W378" i="6" s="1"/>
  <c r="M377" i="6"/>
  <c r="N377" i="6" s="1"/>
  <c r="Q377" i="6" s="1"/>
  <c r="W377" i="6" s="1"/>
  <c r="M376" i="6"/>
  <c r="N376" i="6" s="1"/>
  <c r="Q376" i="6" s="1"/>
  <c r="W376" i="6" s="1"/>
  <c r="M375" i="6"/>
  <c r="N375" i="6" s="1"/>
  <c r="Q375" i="6" s="1"/>
  <c r="W375" i="6" s="1"/>
  <c r="M374" i="6"/>
  <c r="N374" i="6" s="1"/>
  <c r="Q374" i="6" s="1"/>
  <c r="W374" i="6" s="1"/>
  <c r="M373" i="6"/>
  <c r="N373" i="6" s="1"/>
  <c r="Q373" i="6" s="1"/>
  <c r="W373" i="6" s="1"/>
  <c r="M372" i="6"/>
  <c r="N372" i="6" s="1"/>
  <c r="Q372" i="6" s="1"/>
  <c r="W372" i="6" s="1"/>
  <c r="M371" i="6"/>
  <c r="N371" i="6" s="1"/>
  <c r="Q371" i="6" s="1"/>
  <c r="W371" i="6" s="1"/>
  <c r="M370" i="6"/>
  <c r="N370" i="6" s="1"/>
  <c r="Q370" i="6" s="1"/>
  <c r="W370" i="6" s="1"/>
  <c r="M369" i="6"/>
  <c r="N369" i="6" s="1"/>
  <c r="Q369" i="6" s="1"/>
  <c r="W369" i="6" s="1"/>
  <c r="W368" i="6"/>
  <c r="M368" i="6"/>
  <c r="N368" i="6" s="1"/>
  <c r="Q368" i="6" s="1"/>
  <c r="W367" i="6"/>
  <c r="M367" i="6"/>
  <c r="N367" i="6" s="1"/>
  <c r="Q367" i="6" s="1"/>
  <c r="W366" i="6"/>
  <c r="M366" i="6"/>
  <c r="N366" i="6" s="1"/>
  <c r="Q366" i="6" s="1"/>
  <c r="W365" i="6"/>
  <c r="M365" i="6"/>
  <c r="N365" i="6" s="1"/>
  <c r="Q365" i="6" s="1"/>
  <c r="M364" i="6"/>
  <c r="N364" i="6" s="1"/>
  <c r="Q364" i="6" s="1"/>
  <c r="W364" i="6" s="1"/>
  <c r="M363" i="6"/>
  <c r="N363" i="6" s="1"/>
  <c r="W363" i="6" s="1"/>
  <c r="W362" i="6"/>
  <c r="M362" i="6"/>
  <c r="N362" i="6" s="1"/>
  <c r="Q362" i="6" s="1"/>
  <c r="M361" i="6"/>
  <c r="N361" i="6" s="1"/>
  <c r="Q361" i="6" s="1"/>
  <c r="W361" i="6" s="1"/>
  <c r="W360" i="6"/>
  <c r="M360" i="6"/>
  <c r="N360" i="6" s="1"/>
  <c r="Q360" i="6" s="1"/>
  <c r="W359" i="6"/>
  <c r="M359" i="6"/>
  <c r="N359" i="6" s="1"/>
  <c r="Q359" i="6" s="1"/>
  <c r="M358" i="6"/>
  <c r="N358" i="6" s="1"/>
  <c r="Q358" i="6" s="1"/>
  <c r="W358" i="6" s="1"/>
  <c r="M357" i="6"/>
  <c r="N357" i="6" s="1"/>
  <c r="Q357" i="6" s="1"/>
  <c r="W357" i="6" s="1"/>
  <c r="M356" i="6"/>
  <c r="N356" i="6" s="1"/>
  <c r="Q356" i="6" s="1"/>
  <c r="W356" i="6" s="1"/>
  <c r="M355" i="6"/>
  <c r="N355" i="6" s="1"/>
  <c r="Q355" i="6" s="1"/>
  <c r="W355" i="6" s="1"/>
  <c r="W354" i="6"/>
  <c r="M354" i="6"/>
  <c r="N354" i="6" s="1"/>
  <c r="Q354" i="6" s="1"/>
  <c r="W353" i="6"/>
  <c r="M353" i="6"/>
  <c r="N353" i="6" s="1"/>
  <c r="Q353" i="6" s="1"/>
  <c r="W352" i="6"/>
  <c r="M352" i="6"/>
  <c r="N352" i="6" s="1"/>
  <c r="Q352" i="6" s="1"/>
  <c r="M351" i="6"/>
  <c r="N351" i="6" s="1"/>
  <c r="Q351" i="6" s="1"/>
  <c r="W351" i="6" s="1"/>
  <c r="M350" i="6"/>
  <c r="N350" i="6" s="1"/>
  <c r="Q350" i="6" s="1"/>
  <c r="W350" i="6" s="1"/>
  <c r="M349" i="6"/>
  <c r="N349" i="6" s="1"/>
  <c r="Q349" i="6" s="1"/>
  <c r="W349" i="6" s="1"/>
  <c r="E349" i="6"/>
  <c r="M348" i="6"/>
  <c r="N348" i="6" s="1"/>
  <c r="Q348" i="6" s="1"/>
  <c r="W348" i="6" s="1"/>
  <c r="M347" i="6"/>
  <c r="N347" i="6" s="1"/>
  <c r="Q347" i="6" s="1"/>
  <c r="W347" i="6" s="1"/>
  <c r="M346" i="6"/>
  <c r="N346" i="6" s="1"/>
  <c r="Q346" i="6" s="1"/>
  <c r="W346" i="6" s="1"/>
  <c r="W345" i="6"/>
  <c r="M345" i="6"/>
  <c r="N345" i="6" s="1"/>
  <c r="Q345" i="6" s="1"/>
  <c r="W344" i="6"/>
  <c r="M344" i="6"/>
  <c r="N344" i="6" s="1"/>
  <c r="Q344" i="6" s="1"/>
  <c r="M343" i="6"/>
  <c r="N343" i="6" s="1"/>
  <c r="Q343" i="6" s="1"/>
  <c r="W343" i="6" s="1"/>
  <c r="M342" i="6"/>
  <c r="N342" i="6" s="1"/>
  <c r="Q342" i="6" s="1"/>
  <c r="W342" i="6" s="1"/>
  <c r="M341" i="6"/>
  <c r="N341" i="6" s="1"/>
  <c r="Q341" i="6" s="1"/>
  <c r="W341" i="6" s="1"/>
  <c r="M340" i="6"/>
  <c r="N340" i="6" s="1"/>
  <c r="Q340" i="6" s="1"/>
  <c r="W340" i="6" s="1"/>
  <c r="M339" i="6"/>
  <c r="N339" i="6" s="1"/>
  <c r="Q339" i="6" s="1"/>
  <c r="W339" i="6" s="1"/>
  <c r="M338" i="6"/>
  <c r="N338" i="6" s="1"/>
  <c r="Q338" i="6" s="1"/>
  <c r="W338" i="6" s="1"/>
  <c r="M337" i="6"/>
  <c r="N337" i="6" s="1"/>
  <c r="Q337" i="6" s="1"/>
  <c r="W337" i="6" s="1"/>
  <c r="M336" i="6"/>
  <c r="N336" i="6" s="1"/>
  <c r="Q336" i="6" s="1"/>
  <c r="W336" i="6" s="1"/>
  <c r="M335" i="6"/>
  <c r="N335" i="6" s="1"/>
  <c r="Q335" i="6" s="1"/>
  <c r="W335" i="6" s="1"/>
  <c r="W334" i="6"/>
  <c r="M334" i="6"/>
  <c r="N334" i="6" s="1"/>
  <c r="Q334" i="6" s="1"/>
  <c r="W333" i="6"/>
  <c r="M333" i="6"/>
  <c r="N333" i="6" s="1"/>
  <c r="Q333" i="6" s="1"/>
  <c r="W332" i="6"/>
  <c r="M332" i="6"/>
  <c r="N332" i="6" s="1"/>
  <c r="Q332" i="6" s="1"/>
  <c r="W331" i="6"/>
  <c r="M331" i="6"/>
  <c r="N331" i="6" s="1"/>
  <c r="Q331" i="6" s="1"/>
  <c r="M330" i="6"/>
  <c r="N330" i="6" s="1"/>
  <c r="Q330" i="6" s="1"/>
  <c r="W330" i="6" s="1"/>
  <c r="W329" i="6"/>
  <c r="M329" i="6"/>
  <c r="N329" i="6" s="1"/>
  <c r="Q329" i="6" s="1"/>
  <c r="W328" i="6"/>
  <c r="M328" i="6"/>
  <c r="N328" i="6" s="1"/>
  <c r="Q328" i="6" s="1"/>
  <c r="W327" i="6"/>
  <c r="M327" i="6"/>
  <c r="N327" i="6" s="1"/>
  <c r="Q327" i="6" s="1"/>
  <c r="M326" i="6"/>
  <c r="N326" i="6" s="1"/>
  <c r="Q326" i="6" s="1"/>
  <c r="W326" i="6" s="1"/>
  <c r="M325" i="6"/>
  <c r="N325" i="6" s="1"/>
  <c r="Q325" i="6" s="1"/>
  <c r="W325" i="6" s="1"/>
  <c r="M324" i="6"/>
  <c r="N324" i="6" s="1"/>
  <c r="Q324" i="6" s="1"/>
  <c r="W324" i="6" s="1"/>
  <c r="M323" i="6"/>
  <c r="N323" i="6" s="1"/>
  <c r="Q323" i="6" s="1"/>
  <c r="W323" i="6" s="1"/>
  <c r="M322" i="6"/>
  <c r="N322" i="6" s="1"/>
  <c r="Q322" i="6" s="1"/>
  <c r="W322" i="6" s="1"/>
  <c r="M321" i="6"/>
  <c r="N321" i="6" s="1"/>
  <c r="Q321" i="6" s="1"/>
  <c r="W321" i="6" s="1"/>
  <c r="M320" i="6"/>
  <c r="N320" i="6" s="1"/>
  <c r="Q320" i="6" s="1"/>
  <c r="W320" i="6" s="1"/>
  <c r="M319" i="6"/>
  <c r="N319" i="6" s="1"/>
  <c r="Q319" i="6" s="1"/>
  <c r="W319" i="6" s="1"/>
  <c r="M318" i="6"/>
  <c r="N318" i="6" s="1"/>
  <c r="Q318" i="6" s="1"/>
  <c r="W318" i="6" s="1"/>
  <c r="M317" i="6"/>
  <c r="N317" i="6" s="1"/>
  <c r="Q317" i="6" s="1"/>
  <c r="W317" i="6" s="1"/>
  <c r="M316" i="6"/>
  <c r="N316" i="6" s="1"/>
  <c r="Q316" i="6" s="1"/>
  <c r="W316" i="6" s="1"/>
  <c r="W315" i="6"/>
  <c r="M315" i="6"/>
  <c r="N315" i="6" s="1"/>
  <c r="Q315" i="6" s="1"/>
  <c r="W314" i="6"/>
  <c r="M314" i="6"/>
  <c r="N314" i="6" s="1"/>
  <c r="Q314" i="6" s="1"/>
  <c r="W313" i="6"/>
  <c r="M313" i="6"/>
  <c r="N313" i="6" s="1"/>
  <c r="Q313" i="6" s="1"/>
  <c r="W312" i="6"/>
  <c r="M312" i="6"/>
  <c r="N312" i="6" s="1"/>
  <c r="Q312" i="6" s="1"/>
  <c r="M311" i="6"/>
  <c r="N311" i="6" s="1"/>
  <c r="Q311" i="6" s="1"/>
  <c r="W311" i="6" s="1"/>
  <c r="M310" i="6"/>
  <c r="N310" i="6" s="1"/>
  <c r="Q310" i="6" s="1"/>
  <c r="M309" i="6"/>
  <c r="N309" i="6" s="1"/>
  <c r="Q309" i="6" s="1"/>
  <c r="M308" i="6"/>
  <c r="N308" i="6" s="1"/>
  <c r="Q308" i="6" s="1"/>
  <c r="M307" i="6"/>
  <c r="N307" i="6" s="1"/>
  <c r="Q307" i="6" s="1"/>
  <c r="M306" i="6"/>
  <c r="N306" i="6" s="1"/>
  <c r="Q306" i="6" s="1"/>
  <c r="W306" i="6" s="1"/>
  <c r="M305" i="6"/>
  <c r="N305" i="6" s="1"/>
  <c r="Q305" i="6" s="1"/>
  <c r="W305" i="6" s="1"/>
  <c r="M304" i="6"/>
  <c r="N304" i="6" s="1"/>
  <c r="Q304" i="6" s="1"/>
  <c r="W304" i="6" s="1"/>
  <c r="K303" i="6"/>
  <c r="M302" i="6"/>
  <c r="N302" i="6" s="1"/>
  <c r="Q302" i="6" s="1"/>
  <c r="W302" i="6" s="1"/>
  <c r="M301" i="6"/>
  <c r="N301" i="6" s="1"/>
  <c r="Q301" i="6" s="1"/>
  <c r="W301" i="6" s="1"/>
  <c r="M300" i="6"/>
  <c r="N300" i="6" s="1"/>
  <c r="Q300" i="6" s="1"/>
  <c r="W300" i="6" s="1"/>
  <c r="M299" i="6"/>
  <c r="N299" i="6" s="1"/>
  <c r="Q299" i="6" s="1"/>
  <c r="W299" i="6" s="1"/>
  <c r="M298" i="6"/>
  <c r="N298" i="6" s="1"/>
  <c r="Q298" i="6" s="1"/>
  <c r="W298" i="6" s="1"/>
  <c r="M297" i="6"/>
  <c r="N297" i="6" s="1"/>
  <c r="Q297" i="6" s="1"/>
  <c r="W297" i="6" s="1"/>
  <c r="M296" i="6"/>
  <c r="N296" i="6" s="1"/>
  <c r="Q296" i="6" s="1"/>
  <c r="W296" i="6" s="1"/>
  <c r="M295" i="6"/>
  <c r="N295" i="6" s="1"/>
  <c r="Q295" i="6" s="1"/>
  <c r="W295" i="6" s="1"/>
  <c r="M294" i="6"/>
  <c r="N294" i="6" s="1"/>
  <c r="Q294" i="6" s="1"/>
  <c r="W294" i="6" s="1"/>
  <c r="M293" i="6"/>
  <c r="N293" i="6" s="1"/>
  <c r="Q293" i="6" s="1"/>
  <c r="W293" i="6" s="1"/>
  <c r="M292" i="6"/>
  <c r="N292" i="6" s="1"/>
  <c r="Q292" i="6" s="1"/>
  <c r="W292" i="6" s="1"/>
  <c r="M291" i="6"/>
  <c r="N291" i="6" s="1"/>
  <c r="Q291" i="6" s="1"/>
  <c r="W291" i="6" s="1"/>
  <c r="M290" i="6"/>
  <c r="N290" i="6" s="1"/>
  <c r="Q290" i="6" s="1"/>
  <c r="W290" i="6" s="1"/>
  <c r="M289" i="6"/>
  <c r="N289" i="6" s="1"/>
  <c r="Q289" i="6" s="1"/>
  <c r="W289" i="6" s="1"/>
  <c r="M288" i="6"/>
  <c r="N288" i="6" s="1"/>
  <c r="Q288" i="6" s="1"/>
  <c r="W288" i="6" s="1"/>
  <c r="M287" i="6"/>
  <c r="N287" i="6" s="1"/>
  <c r="Q287" i="6" s="1"/>
  <c r="W287" i="6" s="1"/>
  <c r="M286" i="6"/>
  <c r="N286" i="6" s="1"/>
  <c r="Q286" i="6" s="1"/>
  <c r="W286" i="6" s="1"/>
  <c r="K285" i="6"/>
  <c r="M284" i="6"/>
  <c r="N284" i="6" s="1"/>
  <c r="Q284" i="6" s="1"/>
  <c r="W284" i="6" s="1"/>
  <c r="M283" i="6"/>
  <c r="N283" i="6" s="1"/>
  <c r="Q283" i="6" s="1"/>
  <c r="W283" i="6" s="1"/>
  <c r="M282" i="6"/>
  <c r="N282" i="6" s="1"/>
  <c r="Q282" i="6" s="1"/>
  <c r="W282" i="6" s="1"/>
  <c r="M281" i="6"/>
  <c r="N281" i="6" s="1"/>
  <c r="Q281" i="6" s="1"/>
  <c r="W281" i="6" s="1"/>
  <c r="M280" i="6"/>
  <c r="N280" i="6" s="1"/>
  <c r="Q280" i="6" s="1"/>
  <c r="W280" i="6" s="1"/>
  <c r="M279" i="6"/>
  <c r="N279" i="6" s="1"/>
  <c r="Q279" i="6" s="1"/>
  <c r="W279" i="6" s="1"/>
  <c r="M278" i="6"/>
  <c r="N278" i="6" s="1"/>
  <c r="Q278" i="6" s="1"/>
  <c r="W278" i="6" s="1"/>
  <c r="M277" i="6"/>
  <c r="N277" i="6" s="1"/>
  <c r="Q277" i="6" s="1"/>
  <c r="W277" i="6" s="1"/>
  <c r="M276" i="6"/>
  <c r="N276" i="6" s="1"/>
  <c r="Q276" i="6" s="1"/>
  <c r="W276" i="6" s="1"/>
  <c r="M275" i="6"/>
  <c r="N275" i="6" s="1"/>
  <c r="Q275" i="6" s="1"/>
  <c r="W275" i="6" s="1"/>
  <c r="M274" i="6"/>
  <c r="N274" i="6" s="1"/>
  <c r="Q274" i="6" s="1"/>
  <c r="W274" i="6" s="1"/>
  <c r="M273" i="6"/>
  <c r="N273" i="6" s="1"/>
  <c r="Q273" i="6" s="1"/>
  <c r="W273" i="6" s="1"/>
  <c r="M272" i="6"/>
  <c r="N272" i="6" s="1"/>
  <c r="Q272" i="6" s="1"/>
  <c r="W272" i="6" s="1"/>
  <c r="M271" i="6"/>
  <c r="N271" i="6" s="1"/>
  <c r="Q271" i="6" s="1"/>
  <c r="W271" i="6" s="1"/>
  <c r="M270" i="6"/>
  <c r="N270" i="6" s="1"/>
  <c r="Q270" i="6" s="1"/>
  <c r="W270" i="6" s="1"/>
  <c r="M269" i="6"/>
  <c r="N269" i="6" s="1"/>
  <c r="Q269" i="6" s="1"/>
  <c r="W269" i="6" s="1"/>
  <c r="M268" i="6"/>
  <c r="N268" i="6" s="1"/>
  <c r="Q268" i="6" s="1"/>
  <c r="W268" i="6" s="1"/>
  <c r="M267" i="6"/>
  <c r="N267" i="6" s="1"/>
  <c r="Q267" i="6" s="1"/>
  <c r="W267" i="6" s="1"/>
  <c r="M266" i="6"/>
  <c r="N266" i="6" s="1"/>
  <c r="Q266" i="6" s="1"/>
  <c r="W266" i="6" s="1"/>
  <c r="M265" i="6"/>
  <c r="N265" i="6" s="1"/>
  <c r="Q265" i="6" s="1"/>
  <c r="W265" i="6" s="1"/>
  <c r="M264" i="6"/>
  <c r="N264" i="6" s="1"/>
  <c r="Q264" i="6" s="1"/>
  <c r="W264" i="6" s="1"/>
  <c r="M263" i="6"/>
  <c r="N263" i="6" s="1"/>
  <c r="Q263" i="6" s="1"/>
  <c r="W263" i="6" s="1"/>
  <c r="M262" i="6"/>
  <c r="N262" i="6" s="1"/>
  <c r="Q262" i="6" s="1"/>
  <c r="W262" i="6" s="1"/>
  <c r="M261" i="6"/>
  <c r="N261" i="6" s="1"/>
  <c r="Q261" i="6" s="1"/>
  <c r="W261" i="6" s="1"/>
  <c r="M260" i="6"/>
  <c r="N260" i="6" s="1"/>
  <c r="Q260" i="6" s="1"/>
  <c r="W260" i="6" s="1"/>
  <c r="M259" i="6"/>
  <c r="N259" i="6" s="1"/>
  <c r="Q259" i="6" s="1"/>
  <c r="W259" i="6" s="1"/>
  <c r="M258" i="6"/>
  <c r="N258" i="6" s="1"/>
  <c r="Q258" i="6" s="1"/>
  <c r="W258" i="6" s="1"/>
  <c r="M257" i="6"/>
  <c r="N257" i="6" s="1"/>
  <c r="Q257" i="6" s="1"/>
  <c r="M256" i="6"/>
  <c r="N256" i="6" s="1"/>
  <c r="Q256" i="6" s="1"/>
  <c r="W256" i="6" s="1"/>
  <c r="M255" i="6"/>
  <c r="N255" i="6" s="1"/>
  <c r="Q255" i="6" s="1"/>
  <c r="W255" i="6" s="1"/>
  <c r="M254" i="6"/>
  <c r="N254" i="6" s="1"/>
  <c r="Q254" i="6" s="1"/>
  <c r="W254" i="6" s="1"/>
  <c r="M253" i="6"/>
  <c r="N253" i="6" s="1"/>
  <c r="Q253" i="6" s="1"/>
  <c r="W253" i="6" s="1"/>
  <c r="M252" i="6"/>
  <c r="N252" i="6" s="1"/>
  <c r="Q252" i="6" s="1"/>
  <c r="W252" i="6" s="1"/>
  <c r="M251" i="6"/>
  <c r="N251" i="6" s="1"/>
  <c r="Q251" i="6" s="1"/>
  <c r="W251" i="6" s="1"/>
  <c r="M250" i="6"/>
  <c r="N250" i="6" s="1"/>
  <c r="Q250" i="6" s="1"/>
  <c r="W250" i="6" s="1"/>
  <c r="M249" i="6"/>
  <c r="N249" i="6" s="1"/>
  <c r="Q249" i="6" s="1"/>
  <c r="W249" i="6" s="1"/>
  <c r="M248" i="6"/>
  <c r="N248" i="6" s="1"/>
  <c r="Q248" i="6" s="1"/>
  <c r="W248" i="6" s="1"/>
  <c r="M247" i="6"/>
  <c r="N247" i="6" s="1"/>
  <c r="Q247" i="6" s="1"/>
  <c r="W247" i="6" s="1"/>
  <c r="M246" i="6"/>
  <c r="N246" i="6" s="1"/>
  <c r="Q246" i="6" s="1"/>
  <c r="W246" i="6" s="1"/>
  <c r="M245" i="6"/>
  <c r="N245" i="6" s="1"/>
  <c r="Q245" i="6" s="1"/>
  <c r="W245" i="6" s="1"/>
  <c r="M244" i="6"/>
  <c r="N244" i="6" s="1"/>
  <c r="Q244" i="6" s="1"/>
  <c r="W244" i="6" s="1"/>
  <c r="M243" i="6"/>
  <c r="N243" i="6" s="1"/>
  <c r="Q243" i="6" s="1"/>
  <c r="W243" i="6" s="1"/>
  <c r="M242" i="6"/>
  <c r="N242" i="6" s="1"/>
  <c r="Q242" i="6" s="1"/>
  <c r="W242" i="6" s="1"/>
  <c r="M241" i="6"/>
  <c r="N241" i="6" s="1"/>
  <c r="Q241" i="6" s="1"/>
  <c r="W241" i="6" s="1"/>
  <c r="M240" i="6"/>
  <c r="N240" i="6" s="1"/>
  <c r="Q240" i="6" s="1"/>
  <c r="W240" i="6" s="1"/>
  <c r="M239" i="6"/>
  <c r="N239" i="6" s="1"/>
  <c r="Q239" i="6" s="1"/>
  <c r="W239" i="6" s="1"/>
  <c r="M238" i="6"/>
  <c r="N238" i="6" s="1"/>
  <c r="Q238" i="6" s="1"/>
  <c r="W238" i="6" s="1"/>
  <c r="M237" i="6"/>
  <c r="N237" i="6" s="1"/>
  <c r="Q237" i="6" s="1"/>
  <c r="W237" i="6" s="1"/>
  <c r="M236" i="6"/>
  <c r="N236" i="6" s="1"/>
  <c r="Q236" i="6" s="1"/>
  <c r="W236" i="6" s="1"/>
  <c r="M235" i="6"/>
  <c r="N235" i="6" s="1"/>
  <c r="Q235" i="6" s="1"/>
  <c r="W235" i="6" s="1"/>
  <c r="W234" i="6"/>
  <c r="M234" i="6"/>
  <c r="N234" i="6" s="1"/>
  <c r="Q234" i="6" s="1"/>
  <c r="W233" i="6"/>
  <c r="M233" i="6"/>
  <c r="N233" i="6" s="1"/>
  <c r="Q233" i="6" s="1"/>
  <c r="M232" i="6"/>
  <c r="N232" i="6" s="1"/>
  <c r="Q232" i="6" s="1"/>
  <c r="W232" i="6" s="1"/>
  <c r="M231" i="6"/>
  <c r="N231" i="6" s="1"/>
  <c r="Q231" i="6" s="1"/>
  <c r="W231" i="6" s="1"/>
  <c r="M230" i="6"/>
  <c r="N230" i="6" s="1"/>
  <c r="Q230" i="6" s="1"/>
  <c r="W230" i="6" s="1"/>
  <c r="M229" i="6"/>
  <c r="N229" i="6" s="1"/>
  <c r="Q229" i="6" s="1"/>
  <c r="W229" i="6" s="1"/>
  <c r="M228" i="6"/>
  <c r="N228" i="6" s="1"/>
  <c r="Q228" i="6" s="1"/>
  <c r="W228" i="6" s="1"/>
  <c r="M227" i="6"/>
  <c r="N227" i="6" s="1"/>
  <c r="Q227" i="6" s="1"/>
  <c r="W227" i="6" s="1"/>
  <c r="W226" i="6"/>
  <c r="M226" i="6"/>
  <c r="N226" i="6" s="1"/>
  <c r="W225" i="6"/>
  <c r="M225" i="6"/>
  <c r="N225" i="6" s="1"/>
  <c r="W224" i="6"/>
  <c r="Q224" i="6" s="1"/>
  <c r="M224" i="6"/>
  <c r="N224" i="6" s="1"/>
  <c r="W223" i="6"/>
  <c r="M223" i="6"/>
  <c r="N223" i="6" s="1"/>
  <c r="W222" i="6"/>
  <c r="M222" i="6"/>
  <c r="N222" i="6" s="1"/>
  <c r="W221" i="6"/>
  <c r="M221" i="6"/>
  <c r="N221" i="6" s="1"/>
  <c r="W220" i="6"/>
  <c r="M220" i="6"/>
  <c r="N220" i="6" s="1"/>
  <c r="W219" i="6"/>
  <c r="M219" i="6"/>
  <c r="N219" i="6" s="1"/>
  <c r="W218" i="6"/>
  <c r="M218" i="6"/>
  <c r="N218" i="6" s="1"/>
  <c r="W217" i="6"/>
  <c r="M217" i="6"/>
  <c r="N217" i="6" s="1"/>
  <c r="W216" i="6"/>
  <c r="M216" i="6"/>
  <c r="N216" i="6" s="1"/>
  <c r="W215" i="6"/>
  <c r="M215" i="6"/>
  <c r="N215" i="6" s="1"/>
  <c r="W214" i="6"/>
  <c r="M214" i="6"/>
  <c r="N214" i="6" s="1"/>
  <c r="W213" i="6"/>
  <c r="M213" i="6"/>
  <c r="N213" i="6" s="1"/>
  <c r="W212" i="6"/>
  <c r="M212" i="6"/>
  <c r="N212" i="6" s="1"/>
  <c r="M211" i="6"/>
  <c r="Q211" i="6" s="1"/>
  <c r="W211" i="6" s="1"/>
  <c r="W210" i="6"/>
  <c r="M210" i="6"/>
  <c r="N210" i="6" s="1"/>
  <c r="M209" i="6"/>
  <c r="N209" i="6" s="1"/>
  <c r="W208" i="6"/>
  <c r="M208" i="6"/>
  <c r="N208" i="6" s="1"/>
  <c r="W207" i="6"/>
  <c r="M207" i="6"/>
  <c r="N207" i="6" s="1"/>
  <c r="M206" i="6"/>
  <c r="N206" i="6" s="1"/>
  <c r="Q206" i="6" s="1"/>
  <c r="W206" i="6" s="1"/>
  <c r="K205" i="6"/>
  <c r="K204" i="6"/>
  <c r="M203" i="6"/>
  <c r="K203" i="6"/>
  <c r="W202" i="6"/>
  <c r="M202" i="6"/>
  <c r="N202" i="6" s="1"/>
  <c r="W201" i="6"/>
  <c r="M201" i="6"/>
  <c r="N201" i="6" s="1"/>
  <c r="W200" i="6"/>
  <c r="M200" i="6"/>
  <c r="N200" i="6" s="1"/>
  <c r="W199" i="6"/>
  <c r="M199" i="6"/>
  <c r="N199" i="6" s="1"/>
  <c r="W198" i="6"/>
  <c r="W197" i="6"/>
  <c r="M197" i="6"/>
  <c r="N197" i="6" s="1"/>
  <c r="W196" i="6"/>
  <c r="M196" i="6"/>
  <c r="N196" i="6" s="1"/>
  <c r="W195" i="6"/>
  <c r="M195" i="6"/>
  <c r="N195" i="6" s="1"/>
  <c r="W194" i="6"/>
  <c r="K194" i="6"/>
  <c r="W193" i="6"/>
  <c r="M193" i="6"/>
  <c r="N193" i="6" s="1"/>
  <c r="W192" i="6"/>
  <c r="M192" i="6"/>
  <c r="N192" i="6" s="1"/>
  <c r="W191" i="6"/>
  <c r="M191" i="6"/>
  <c r="N191" i="6" s="1"/>
  <c r="W190" i="6"/>
  <c r="M190" i="6"/>
  <c r="N190" i="6" s="1"/>
  <c r="W189" i="6"/>
  <c r="M189" i="6"/>
  <c r="N189" i="6" s="1"/>
  <c r="W188" i="6"/>
  <c r="M188" i="6"/>
  <c r="N188" i="6" s="1"/>
  <c r="R188" i="6" s="1"/>
  <c r="Q187" i="6"/>
  <c r="W187" i="6" s="1"/>
  <c r="M187" i="6"/>
  <c r="N187" i="6" s="1"/>
  <c r="W186" i="6"/>
  <c r="M186" i="6"/>
  <c r="N186" i="6" s="1"/>
  <c r="W185" i="6"/>
  <c r="M185" i="6"/>
  <c r="N185" i="6" s="1"/>
  <c r="W184" i="6"/>
  <c r="K184" i="6"/>
  <c r="W183" i="6"/>
  <c r="M183" i="6"/>
  <c r="N183" i="6" s="1"/>
  <c r="W182" i="6"/>
  <c r="M182" i="6"/>
  <c r="N182" i="6" s="1"/>
  <c r="W181" i="6"/>
  <c r="M181" i="6"/>
  <c r="N181" i="6" s="1"/>
  <c r="W180" i="6"/>
  <c r="M180" i="6"/>
  <c r="N180" i="6" s="1"/>
  <c r="W179" i="6"/>
  <c r="W178" i="6"/>
  <c r="M178" i="6"/>
  <c r="N178" i="6" s="1"/>
  <c r="W177" i="6"/>
  <c r="M177" i="6"/>
  <c r="N177" i="6" s="1"/>
  <c r="W176" i="6"/>
  <c r="M176" i="6"/>
  <c r="N176" i="6" s="1"/>
  <c r="W175" i="6"/>
  <c r="K175" i="6"/>
  <c r="W174" i="6"/>
  <c r="M174" i="6"/>
  <c r="N174" i="6" s="1"/>
  <c r="W173" i="6"/>
  <c r="M173" i="6"/>
  <c r="N173" i="6" s="1"/>
  <c r="W172" i="6"/>
  <c r="W171" i="6"/>
  <c r="W170" i="6"/>
  <c r="W169" i="6"/>
  <c r="W168" i="6"/>
  <c r="W167" i="6"/>
  <c r="W166" i="6"/>
  <c r="M165" i="6"/>
  <c r="N165" i="6" s="1"/>
  <c r="Q165" i="6" s="1"/>
  <c r="W165" i="6" s="1"/>
  <c r="M164" i="6"/>
  <c r="N164" i="6" s="1"/>
  <c r="Q164" i="6" s="1"/>
  <c r="W164" i="6" s="1"/>
  <c r="Q163" i="6"/>
  <c r="W163" i="6" s="1"/>
  <c r="W162" i="6"/>
  <c r="N162" i="6"/>
  <c r="W161" i="6"/>
  <c r="Q161" i="6"/>
  <c r="W160" i="6"/>
  <c r="Q160" i="6"/>
  <c r="W159" i="6"/>
  <c r="Q159" i="6"/>
  <c r="W158" i="6"/>
  <c r="Q158" i="6"/>
  <c r="W157" i="6"/>
  <c r="Q157" i="6"/>
  <c r="W156" i="6"/>
  <c r="W155" i="6"/>
  <c r="W154" i="6"/>
  <c r="W153" i="6"/>
  <c r="W152" i="6"/>
  <c r="W151" i="6"/>
  <c r="W150" i="6"/>
  <c r="W149" i="6"/>
  <c r="N149" i="6"/>
  <c r="W148" i="6"/>
  <c r="N148" i="6"/>
  <c r="N147" i="6"/>
  <c r="W146" i="6"/>
  <c r="N146" i="6"/>
  <c r="W145" i="6"/>
  <c r="N145" i="6"/>
  <c r="W144" i="6"/>
  <c r="N144" i="6"/>
  <c r="W143" i="6"/>
  <c r="K143" i="6"/>
  <c r="W142" i="6"/>
  <c r="M142" i="6"/>
  <c r="N142" i="6" s="1"/>
  <c r="W141" i="6"/>
  <c r="M141" i="6"/>
  <c r="N141" i="6" s="1"/>
  <c r="W140" i="6"/>
  <c r="N140" i="6"/>
  <c r="W139" i="6"/>
  <c r="M139" i="6"/>
  <c r="N139" i="6" s="1"/>
  <c r="W138" i="6"/>
  <c r="M138" i="6"/>
  <c r="N138" i="6" s="1"/>
  <c r="W137" i="6"/>
  <c r="M137" i="6"/>
  <c r="N137" i="6" s="1"/>
  <c r="W136" i="6"/>
  <c r="M136" i="6"/>
  <c r="N136" i="6" s="1"/>
  <c r="W135" i="6"/>
  <c r="M135" i="6"/>
  <c r="N135" i="6" s="1"/>
  <c r="W134" i="6"/>
  <c r="M134" i="6"/>
  <c r="N134" i="6" s="1"/>
  <c r="W133" i="6"/>
  <c r="M133" i="6"/>
  <c r="N133" i="6" s="1"/>
  <c r="W132" i="6"/>
  <c r="M132" i="6"/>
  <c r="N132" i="6" s="1"/>
  <c r="W131" i="6"/>
  <c r="M131" i="6"/>
  <c r="N131" i="6" s="1"/>
  <c r="W130" i="6"/>
  <c r="M130" i="6"/>
  <c r="N130" i="6" s="1"/>
  <c r="W129" i="6"/>
  <c r="M129" i="6"/>
  <c r="N129" i="6" s="1"/>
  <c r="W128" i="6"/>
  <c r="M128" i="6"/>
  <c r="N128" i="6" s="1"/>
  <c r="W127" i="6"/>
  <c r="M127" i="6"/>
  <c r="N127" i="6" s="1"/>
  <c r="W126" i="6"/>
  <c r="M126" i="6"/>
  <c r="N126" i="6" s="1"/>
  <c r="W125" i="6"/>
  <c r="M125" i="6"/>
  <c r="N125" i="6" s="1"/>
  <c r="W124" i="6"/>
  <c r="M124" i="6"/>
  <c r="N124" i="6" s="1"/>
  <c r="W123" i="6"/>
  <c r="M123" i="6"/>
  <c r="N123" i="6" s="1"/>
  <c r="W122" i="6"/>
  <c r="M122" i="6"/>
  <c r="N122" i="6" s="1"/>
  <c r="W121" i="6"/>
  <c r="M121" i="6"/>
  <c r="N121" i="6" s="1"/>
  <c r="W120" i="6"/>
  <c r="M120" i="6"/>
  <c r="N120" i="6" s="1"/>
  <c r="W119" i="6"/>
  <c r="M119" i="6"/>
  <c r="N119" i="6" s="1"/>
  <c r="M90" i="6"/>
  <c r="N90" i="6" s="1"/>
  <c r="M89" i="6"/>
  <c r="N89" i="6" s="1"/>
  <c r="K88" i="6"/>
  <c r="W87" i="6"/>
  <c r="K87" i="6"/>
  <c r="M87" i="6" s="1"/>
  <c r="N87" i="6" s="1"/>
  <c r="W86" i="6"/>
  <c r="M86" i="6"/>
  <c r="N86" i="6" s="1"/>
  <c r="W85" i="6"/>
  <c r="N85" i="6"/>
  <c r="W84" i="6"/>
  <c r="N84" i="6"/>
  <c r="W83" i="6"/>
  <c r="M83" i="6"/>
  <c r="N83" i="6" s="1"/>
  <c r="R83" i="6" s="1"/>
  <c r="W82" i="6"/>
  <c r="M82" i="6"/>
  <c r="N82" i="6" s="1"/>
  <c r="W81" i="6"/>
  <c r="M81" i="6"/>
  <c r="N81" i="6" s="1"/>
  <c r="S81" i="6" s="1"/>
  <c r="W80" i="6"/>
  <c r="N80" i="6"/>
  <c r="W79" i="6"/>
  <c r="M79" i="6"/>
  <c r="N79" i="6" s="1"/>
  <c r="W78" i="6"/>
  <c r="N78" i="6"/>
  <c r="W77" i="6"/>
  <c r="M77" i="6"/>
  <c r="N77" i="6" s="1"/>
  <c r="W76" i="6"/>
  <c r="M76" i="6"/>
  <c r="N76" i="6" s="1"/>
  <c r="W75" i="6"/>
  <c r="M75" i="6"/>
  <c r="N75" i="6" s="1"/>
  <c r="W74" i="6"/>
  <c r="M74" i="6"/>
  <c r="N74" i="6" s="1"/>
  <c r="W73" i="6"/>
  <c r="K73" i="6"/>
  <c r="W72" i="6"/>
  <c r="M72" i="6"/>
  <c r="N72" i="6" s="1"/>
  <c r="W71" i="6"/>
  <c r="M71" i="6"/>
  <c r="N71" i="6" s="1"/>
  <c r="W70" i="6"/>
  <c r="M70" i="6"/>
  <c r="N70" i="6" s="1"/>
  <c r="W69" i="6"/>
  <c r="M69" i="6"/>
  <c r="N69" i="6" s="1"/>
  <c r="W68" i="6"/>
  <c r="R68" i="6"/>
  <c r="M68" i="6"/>
  <c r="N68" i="6" s="1"/>
  <c r="W67" i="6"/>
  <c r="M67" i="6"/>
  <c r="N67" i="6" s="1"/>
  <c r="W66" i="6"/>
  <c r="M66" i="6"/>
  <c r="N66" i="6" s="1"/>
  <c r="W65" i="6"/>
  <c r="M65" i="6"/>
  <c r="N65" i="6" s="1"/>
  <c r="M64" i="6"/>
  <c r="N64" i="6" s="1"/>
  <c r="W63" i="6"/>
  <c r="M63" i="6"/>
  <c r="N63" i="6" s="1"/>
  <c r="W62" i="6"/>
  <c r="M62" i="6"/>
  <c r="N62" i="6" s="1"/>
  <c r="W61" i="6"/>
  <c r="M61" i="6"/>
  <c r="N61" i="6" s="1"/>
  <c r="W60" i="6"/>
  <c r="M60" i="6"/>
  <c r="N60" i="6" s="1"/>
  <c r="W59" i="6"/>
  <c r="M59" i="6"/>
  <c r="N59" i="6" s="1"/>
  <c r="W58" i="6"/>
  <c r="M58" i="6"/>
  <c r="N58" i="6" s="1"/>
  <c r="M57" i="6"/>
  <c r="N57" i="6" s="1"/>
  <c r="W56" i="6"/>
  <c r="M56" i="6"/>
  <c r="N56" i="6" s="1"/>
  <c r="W55" i="6"/>
  <c r="M55" i="6"/>
  <c r="N55" i="6" s="1"/>
  <c r="W54" i="6"/>
  <c r="M54" i="6"/>
  <c r="N54" i="6" s="1"/>
  <c r="Q53" i="6"/>
  <c r="W53" i="6" s="1"/>
  <c r="M53" i="6"/>
  <c r="N53" i="6" s="1"/>
  <c r="W52" i="6"/>
  <c r="M52" i="6"/>
  <c r="N52" i="6" s="1"/>
  <c r="W51" i="6"/>
  <c r="M51" i="6"/>
  <c r="N51" i="6" s="1"/>
  <c r="R50" i="6"/>
  <c r="Q50" i="6"/>
  <c r="W50" i="6" s="1"/>
  <c r="K50" i="6"/>
  <c r="M50" i="6" s="1"/>
  <c r="N50" i="6" s="1"/>
  <c r="N49" i="6"/>
  <c r="W48" i="6"/>
  <c r="M48" i="6"/>
  <c r="N48" i="6" s="1"/>
  <c r="R47" i="6"/>
  <c r="Q47" i="6"/>
  <c r="W47" i="6" s="1"/>
  <c r="K47" i="6"/>
  <c r="W45" i="6"/>
  <c r="K45" i="6"/>
  <c r="K46" i="6" s="1"/>
  <c r="W44" i="6"/>
  <c r="M44" i="6"/>
  <c r="N44" i="6" s="1"/>
  <c r="W43" i="6"/>
  <c r="M43" i="6"/>
  <c r="N43" i="6" s="1"/>
  <c r="W42" i="6"/>
  <c r="M42" i="6"/>
  <c r="N42" i="6" s="1"/>
  <c r="W41" i="6"/>
  <c r="M41" i="6"/>
  <c r="N41" i="6" s="1"/>
  <c r="W40" i="6"/>
  <c r="N40" i="6"/>
  <c r="W39" i="6"/>
  <c r="N39" i="6"/>
  <c r="W38" i="6"/>
  <c r="N38" i="6"/>
  <c r="W37" i="6"/>
  <c r="N37" i="6"/>
  <c r="W36" i="6"/>
  <c r="N36" i="6"/>
  <c r="W35" i="6"/>
  <c r="M35" i="6"/>
  <c r="N35" i="6" s="1"/>
  <c r="W34" i="6"/>
  <c r="M34" i="6"/>
  <c r="N34" i="6" s="1"/>
  <c r="W33" i="6"/>
  <c r="Q33" i="6"/>
  <c r="M33" i="6"/>
  <c r="N33" i="6" s="1"/>
  <c r="W32" i="6"/>
  <c r="M32" i="6"/>
  <c r="N32" i="6" s="1"/>
  <c r="W31" i="6"/>
  <c r="M31" i="6"/>
  <c r="N31" i="6" s="1"/>
  <c r="W30" i="6"/>
  <c r="M30" i="6"/>
  <c r="N30" i="6" s="1"/>
  <c r="M29" i="6"/>
  <c r="N29" i="6" s="1"/>
  <c r="W28" i="6"/>
  <c r="M28" i="6"/>
  <c r="N28" i="6" s="1"/>
  <c r="W27" i="6"/>
  <c r="M27" i="6"/>
  <c r="N27" i="6" s="1"/>
  <c r="W26" i="6"/>
  <c r="M26" i="6"/>
  <c r="N26" i="6" s="1"/>
  <c r="W25" i="6"/>
  <c r="M25" i="6"/>
  <c r="N25" i="6" s="1"/>
  <c r="W24" i="6"/>
  <c r="M24" i="6"/>
  <c r="N24" i="6" s="1"/>
  <c r="W23" i="6"/>
  <c r="M23" i="6"/>
  <c r="N23" i="6" s="1"/>
  <c r="W22" i="6"/>
  <c r="M22" i="6"/>
  <c r="N22" i="6" s="1"/>
  <c r="W21" i="6"/>
  <c r="M21" i="6"/>
  <c r="N21" i="6" s="1"/>
  <c r="W20" i="6"/>
  <c r="M20" i="6"/>
  <c r="N20" i="6" s="1"/>
  <c r="M19" i="6"/>
  <c r="N19" i="6" s="1"/>
  <c r="Q19" i="6" s="1"/>
  <c r="W19" i="6" s="1"/>
  <c r="W18" i="6"/>
  <c r="M18" i="6"/>
  <c r="N18" i="6" s="1"/>
  <c r="M17" i="6"/>
  <c r="N17" i="6" s="1"/>
  <c r="Q17" i="6" s="1"/>
  <c r="W17" i="6" s="1"/>
  <c r="W16" i="6"/>
  <c r="M16" i="6"/>
  <c r="N16" i="6" s="1"/>
  <c r="W15" i="6"/>
  <c r="M15" i="6"/>
  <c r="N15" i="6" s="1"/>
  <c r="W14" i="6"/>
  <c r="M14" i="6"/>
  <c r="N14" i="6" s="1"/>
  <c r="M13" i="6"/>
  <c r="N13" i="6" s="1"/>
  <c r="Q13" i="6" s="1"/>
  <c r="W13" i="6" s="1"/>
  <c r="M12" i="6"/>
  <c r="N12" i="6" s="1"/>
  <c r="Q12" i="6" s="1"/>
  <c r="W12" i="6" s="1"/>
  <c r="J43" i="5"/>
  <c r="J42" i="5"/>
  <c r="J44" i="5" s="1"/>
  <c r="Y31" i="5"/>
  <c r="AB32" i="5" s="1"/>
  <c r="S31" i="5"/>
  <c r="Y27" i="5"/>
  <c r="AB28" i="5" s="1"/>
  <c r="AB37" i="5" s="1"/>
  <c r="S27" i="5"/>
  <c r="R25" i="5"/>
  <c r="Q25" i="5"/>
  <c r="R24" i="5"/>
  <c r="Q24" i="5"/>
  <c r="R23" i="5"/>
  <c r="Q23" i="5"/>
  <c r="R22" i="5"/>
  <c r="R21" i="5"/>
  <c r="Q21" i="5"/>
  <c r="R20" i="5"/>
  <c r="R19" i="5"/>
  <c r="Q19" i="5"/>
  <c r="R18" i="5"/>
  <c r="Q18" i="5"/>
  <c r="R17" i="5"/>
  <c r="Q17" i="5"/>
  <c r="R16" i="5"/>
  <c r="R15" i="5"/>
  <c r="Q15" i="5"/>
  <c r="AD31" i="5" s="1"/>
  <c r="R14" i="5"/>
  <c r="S15" i="4"/>
  <c r="S14" i="4"/>
  <c r="R14" i="4" s="1"/>
  <c r="I49" i="3"/>
  <c r="I48" i="3"/>
  <c r="I50" i="3" s="1"/>
  <c r="Q31" i="3"/>
  <c r="Q30" i="3"/>
  <c r="Q29" i="3"/>
  <c r="Q28" i="3"/>
  <c r="Q27" i="3"/>
  <c r="Q26" i="3"/>
  <c r="P26" i="3" s="1"/>
  <c r="Q25" i="3"/>
  <c r="Q24" i="3"/>
  <c r="P24" i="3" s="1"/>
  <c r="Q23" i="3"/>
  <c r="Q22" i="3"/>
  <c r="Q21" i="3"/>
  <c r="Q20" i="3"/>
  <c r="P20" i="3" s="1"/>
  <c r="Q19" i="3"/>
  <c r="Q18" i="3"/>
  <c r="Q17" i="3"/>
  <c r="Q16" i="3"/>
  <c r="Q15" i="3"/>
  <c r="AC37" i="3"/>
  <c r="Q14" i="3"/>
  <c r="AD38" i="8" l="1"/>
  <c r="AH38" i="8"/>
  <c r="W38" i="8"/>
  <c r="AI38" i="8"/>
  <c r="W16" i="8"/>
  <c r="W26" i="8"/>
  <c r="Z30" i="8"/>
  <c r="AH31" i="8" s="1"/>
  <c r="X38" i="8"/>
  <c r="AJ38" i="8"/>
  <c r="AJ33" i="8"/>
  <c r="W28" i="8"/>
  <c r="AB38" i="8"/>
  <c r="W22" i="8"/>
  <c r="AC38" i="8"/>
  <c r="Q14" i="9"/>
  <c r="F6" i="9"/>
  <c r="N203" i="6"/>
  <c r="Q203" i="6" s="1"/>
  <c r="W203" i="6" s="1"/>
  <c r="Q6" i="4"/>
  <c r="P16" i="3"/>
  <c r="P18" i="3"/>
  <c r="P30" i="3"/>
  <c r="P14" i="3"/>
  <c r="N211" i="6"/>
  <c r="Q22" i="5"/>
  <c r="Q20" i="5"/>
  <c r="Q16" i="5"/>
  <c r="R20" i="12"/>
  <c r="S18" i="4"/>
  <c r="R18" i="4" s="1"/>
  <c r="K6" i="4" s="1"/>
  <c r="R14" i="12"/>
  <c r="J6" i="12" s="1"/>
  <c r="AA33" i="14"/>
  <c r="T81" i="6"/>
  <c r="Q24" i="9"/>
  <c r="Q22" i="9"/>
  <c r="Q18" i="9"/>
  <c r="Q16" i="9"/>
  <c r="P20" i="7"/>
  <c r="P28" i="3"/>
  <c r="P22" i="3"/>
  <c r="N23" i="14"/>
  <c r="T23" i="14"/>
  <c r="W24" i="14" s="1"/>
  <c r="Z23" i="14"/>
  <c r="N27" i="14"/>
  <c r="J27" i="14" s="1"/>
  <c r="T27" i="14"/>
  <c r="W28" i="14" s="1"/>
  <c r="Z27" i="14"/>
  <c r="S23" i="14"/>
  <c r="S27" i="14"/>
  <c r="O23" i="14"/>
  <c r="O24" i="14" s="1"/>
  <c r="AA23" i="14"/>
  <c r="O27" i="14"/>
  <c r="O28" i="14" s="1"/>
  <c r="O29" i="14" s="1"/>
  <c r="U27" i="14"/>
  <c r="AA27" i="14"/>
  <c r="Y23" i="14"/>
  <c r="P23" i="14"/>
  <c r="S24" i="14" s="1"/>
  <c r="V23" i="14"/>
  <c r="AB23" i="14"/>
  <c r="P27" i="14"/>
  <c r="S28" i="14" s="1"/>
  <c r="V27" i="14"/>
  <c r="AB27" i="14"/>
  <c r="Y27" i="14"/>
  <c r="Q23" i="14"/>
  <c r="W23" i="14"/>
  <c r="AC23" i="14"/>
  <c r="Q27" i="14"/>
  <c r="W27" i="14"/>
  <c r="AB21" i="13"/>
  <c r="Q25" i="13"/>
  <c r="AC25" i="13"/>
  <c r="R21" i="13"/>
  <c r="X21" i="13"/>
  <c r="AA22" i="13" s="1"/>
  <c r="O22" i="13"/>
  <c r="S25" i="13"/>
  <c r="Y25" i="13"/>
  <c r="O30" i="13"/>
  <c r="V21" i="13"/>
  <c r="W25" i="13"/>
  <c r="G6" i="13"/>
  <c r="Q21" i="13"/>
  <c r="AC21" i="13"/>
  <c r="X25" i="13"/>
  <c r="AA26" i="13" s="1"/>
  <c r="S21" i="13"/>
  <c r="Y21" i="13"/>
  <c r="T25" i="13"/>
  <c r="W26" i="13" s="1"/>
  <c r="Z25" i="13"/>
  <c r="P21" i="13"/>
  <c r="S22" i="13" s="1"/>
  <c r="W21" i="13"/>
  <c r="R25" i="13"/>
  <c r="P14" i="13"/>
  <c r="J6" i="13" s="1"/>
  <c r="J21" i="13"/>
  <c r="T21" i="13"/>
  <c r="W22" i="13" s="1"/>
  <c r="Z21" i="13"/>
  <c r="O25" i="13"/>
  <c r="U25" i="13"/>
  <c r="X14" i="8"/>
  <c r="W24" i="8"/>
  <c r="Z33" i="8"/>
  <c r="AF33" i="8"/>
  <c r="V40" i="8"/>
  <c r="AA33" i="8"/>
  <c r="AD34" i="8" s="1"/>
  <c r="AD39" i="8" s="1"/>
  <c r="AH42" i="8"/>
  <c r="W14" i="8"/>
  <c r="J6" i="8" s="1"/>
  <c r="V33" i="8"/>
  <c r="V34" i="8" s="1"/>
  <c r="V35" i="8" s="1"/>
  <c r="AB33" i="8"/>
  <c r="AH33" i="8"/>
  <c r="Y38" i="8"/>
  <c r="AE38" i="8"/>
  <c r="AD40" i="8"/>
  <c r="Y33" i="8"/>
  <c r="V31" i="8"/>
  <c r="AH32" i="8" s="1"/>
  <c r="W33" i="8"/>
  <c r="Z34" i="8" s="1"/>
  <c r="AC33" i="8"/>
  <c r="AI33" i="8"/>
  <c r="Z38" i="8"/>
  <c r="AF38" i="8"/>
  <c r="Z39" i="8"/>
  <c r="AE33" i="8"/>
  <c r="AH34" i="8" s="1"/>
  <c r="AH39" i="8" s="1"/>
  <c r="V42" i="8"/>
  <c r="O33" i="8"/>
  <c r="AG33" i="8"/>
  <c r="Z40" i="8"/>
  <c r="G6" i="8"/>
  <c r="X33" i="8"/>
  <c r="AD33" i="8"/>
  <c r="AA38" i="8"/>
  <c r="O32" i="7"/>
  <c r="P14" i="7"/>
  <c r="P23" i="7"/>
  <c r="S24" i="7" s="1"/>
  <c r="V23" i="7"/>
  <c r="AB23" i="7"/>
  <c r="Q27" i="7"/>
  <c r="W27" i="7"/>
  <c r="AC27" i="7"/>
  <c r="Q23" i="7"/>
  <c r="W23" i="7"/>
  <c r="AC23" i="7"/>
  <c r="R27" i="7"/>
  <c r="X27" i="7"/>
  <c r="AA28" i="7" s="1"/>
  <c r="AA29" i="7" s="1"/>
  <c r="R23" i="7"/>
  <c r="X23" i="7"/>
  <c r="AA24" i="7" s="1"/>
  <c r="O24" i="7"/>
  <c r="S27" i="7"/>
  <c r="Y27" i="7"/>
  <c r="J23" i="7"/>
  <c r="T23" i="7"/>
  <c r="W24" i="7" s="1"/>
  <c r="W33" i="7" s="1"/>
  <c r="Z23" i="7"/>
  <c r="O27" i="7"/>
  <c r="U27" i="7"/>
  <c r="M46" i="6"/>
  <c r="N46" i="6" s="1"/>
  <c r="M45" i="6"/>
  <c r="N45" i="6" s="1"/>
  <c r="M194" i="6"/>
  <c r="N194" i="6" s="1"/>
  <c r="M205" i="6"/>
  <c r="N205" i="6" s="1"/>
  <c r="Q205" i="6" s="1"/>
  <c r="W205" i="6" s="1"/>
  <c r="M175" i="6"/>
  <c r="N175" i="6" s="1"/>
  <c r="M204" i="6"/>
  <c r="N204" i="6" s="1"/>
  <c r="Q204" i="6" s="1"/>
  <c r="W204" i="6" s="1"/>
  <c r="M285" i="6"/>
  <c r="N285" i="6" s="1"/>
  <c r="Q285" i="6" s="1"/>
  <c r="W285" i="6" s="1"/>
  <c r="M303" i="6"/>
  <c r="N303" i="6" s="1"/>
  <c r="Q303" i="6" s="1"/>
  <c r="W303" i="6" s="1"/>
  <c r="W394" i="6"/>
  <c r="Q394" i="6"/>
  <c r="Q363" i="6"/>
  <c r="M47" i="6"/>
  <c r="N47" i="6" s="1"/>
  <c r="M73" i="6"/>
  <c r="N73" i="6" s="1"/>
  <c r="M88" i="6"/>
  <c r="N88" i="6" s="1"/>
  <c r="M143" i="6"/>
  <c r="N143" i="6" s="1"/>
  <c r="M184" i="6"/>
  <c r="N184" i="6" s="1"/>
  <c r="G6" i="5"/>
  <c r="Q14" i="5"/>
  <c r="J6" i="5" s="1"/>
  <c r="T27" i="5"/>
  <c r="Z27" i="5"/>
  <c r="T31" i="5"/>
  <c r="Z31" i="5"/>
  <c r="O27" i="5"/>
  <c r="U27" i="5"/>
  <c r="X28" i="5" s="1"/>
  <c r="AA27" i="5"/>
  <c r="O31" i="5"/>
  <c r="J31" i="5" s="1"/>
  <c r="U31" i="5"/>
  <c r="X32" i="5" s="1"/>
  <c r="AA31" i="5"/>
  <c r="P27" i="5"/>
  <c r="P28" i="5" s="1"/>
  <c r="V27" i="5"/>
  <c r="AB27" i="5"/>
  <c r="P31" i="5"/>
  <c r="P32" i="5" s="1"/>
  <c r="P33" i="5" s="1"/>
  <c r="V31" i="5"/>
  <c r="AB31" i="5"/>
  <c r="Q27" i="5"/>
  <c r="T28" i="5" s="1"/>
  <c r="W27" i="5"/>
  <c r="AC27" i="5"/>
  <c r="Q31" i="5"/>
  <c r="T32" i="5" s="1"/>
  <c r="W31" i="5"/>
  <c r="AC31" i="5"/>
  <c r="R27" i="5"/>
  <c r="X27" i="5"/>
  <c r="AD27" i="5"/>
  <c r="R31" i="5"/>
  <c r="X31" i="5"/>
  <c r="R33" i="3"/>
  <c r="X33" i="3"/>
  <c r="AA34" i="3" s="1"/>
  <c r="R37" i="3"/>
  <c r="X37" i="3"/>
  <c r="AA38" i="3" s="1"/>
  <c r="S33" i="3"/>
  <c r="Y33" i="3"/>
  <c r="S37" i="3"/>
  <c r="Y37" i="3"/>
  <c r="N33" i="3"/>
  <c r="T33" i="3"/>
  <c r="W34" i="3" s="1"/>
  <c r="Z33" i="3"/>
  <c r="N37" i="3"/>
  <c r="I37" i="3" s="1"/>
  <c r="T37" i="3"/>
  <c r="W38" i="3" s="1"/>
  <c r="Z37" i="3"/>
  <c r="O33" i="3"/>
  <c r="O34" i="3" s="1"/>
  <c r="U33" i="3"/>
  <c r="AA33" i="3"/>
  <c r="O37" i="3"/>
  <c r="O38" i="3" s="1"/>
  <c r="O39" i="3" s="1"/>
  <c r="U37" i="3"/>
  <c r="AA37" i="3"/>
  <c r="P33" i="3"/>
  <c r="S34" i="3" s="1"/>
  <c r="V33" i="3"/>
  <c r="AB33" i="3"/>
  <c r="P37" i="3"/>
  <c r="S38" i="3" s="1"/>
  <c r="V37" i="3"/>
  <c r="AB37" i="3"/>
  <c r="Q33" i="3"/>
  <c r="W33" i="3"/>
  <c r="AC33" i="3"/>
  <c r="Q37" i="3"/>
  <c r="W37" i="3"/>
  <c r="I6" i="3" l="1"/>
  <c r="AH40" i="8"/>
  <c r="I6" i="9"/>
  <c r="P29" i="13"/>
  <c r="AA27" i="13"/>
  <c r="AC30" i="13"/>
  <c r="X29" i="13"/>
  <c r="AA30" i="13"/>
  <c r="Q30" i="13"/>
  <c r="J6" i="7"/>
  <c r="J6" i="10"/>
  <c r="AJ37" i="8"/>
  <c r="AA39" i="3"/>
  <c r="AA40" i="3" s="1"/>
  <c r="W33" i="14"/>
  <c r="O35" i="14"/>
  <c r="O34" i="14"/>
  <c r="AA35" i="14"/>
  <c r="AA34" i="14"/>
  <c r="O25" i="14"/>
  <c r="W34" i="14"/>
  <c r="O33" i="14"/>
  <c r="O36" i="14"/>
  <c r="AA36" i="14"/>
  <c r="S34" i="14"/>
  <c r="AA29" i="14"/>
  <c r="Z32" i="14"/>
  <c r="T32" i="14"/>
  <c r="N32" i="14"/>
  <c r="X31" i="14"/>
  <c r="R31" i="14"/>
  <c r="V32" i="14"/>
  <c r="T31" i="14"/>
  <c r="O32" i="14"/>
  <c r="Y32" i="14"/>
  <c r="S32" i="14"/>
  <c r="AC31" i="14"/>
  <c r="W31" i="14"/>
  <c r="Q31" i="14"/>
  <c r="AB32" i="14"/>
  <c r="P32" i="14"/>
  <c r="Y31" i="14"/>
  <c r="X32" i="14"/>
  <c r="R32" i="14"/>
  <c r="AB31" i="14"/>
  <c r="V31" i="14"/>
  <c r="P31" i="14"/>
  <c r="Z31" i="14"/>
  <c r="N31" i="14"/>
  <c r="J23" i="14"/>
  <c r="AA32" i="14"/>
  <c r="S31" i="14"/>
  <c r="AC32" i="14"/>
  <c r="W32" i="14"/>
  <c r="Q32" i="14"/>
  <c r="AA31" i="14"/>
  <c r="U31" i="14"/>
  <c r="O31" i="14"/>
  <c r="U32" i="14"/>
  <c r="AA25" i="14"/>
  <c r="S33" i="14"/>
  <c r="AA30" i="14"/>
  <c r="T30" i="13"/>
  <c r="U30" i="13"/>
  <c r="AC29" i="13"/>
  <c r="V30" i="13"/>
  <c r="X30" i="13"/>
  <c r="AB30" i="13"/>
  <c r="R29" i="13"/>
  <c r="Y30" i="13"/>
  <c r="T29" i="13"/>
  <c r="W31" i="13"/>
  <c r="S30" i="13"/>
  <c r="W29" i="13"/>
  <c r="S29" i="13"/>
  <c r="AB29" i="13"/>
  <c r="R30" i="13"/>
  <c r="O34" i="13"/>
  <c r="O23" i="13"/>
  <c r="AA32" i="13"/>
  <c r="S32" i="13"/>
  <c r="O32" i="13"/>
  <c r="W32" i="13"/>
  <c r="AA34" i="13"/>
  <c r="Y29" i="13"/>
  <c r="Z29" i="13"/>
  <c r="U29" i="13"/>
  <c r="J25" i="13"/>
  <c r="O26" i="13"/>
  <c r="O27" i="13" s="1"/>
  <c r="AA28" i="13" s="1"/>
  <c r="O29" i="13"/>
  <c r="Q29" i="13"/>
  <c r="S31" i="13"/>
  <c r="AA23" i="13"/>
  <c r="V29" i="13"/>
  <c r="W30" i="13"/>
  <c r="P30" i="13"/>
  <c r="AA29" i="13"/>
  <c r="AA31" i="13"/>
  <c r="Z30" i="13"/>
  <c r="AH41" i="8"/>
  <c r="X37" i="8"/>
  <c r="AC37" i="8"/>
  <c r="W37" i="8"/>
  <c r="AE37" i="8"/>
  <c r="V39" i="8"/>
  <c r="AD37" i="8"/>
  <c r="AI37" i="8"/>
  <c r="V41" i="8"/>
  <c r="Y37" i="8"/>
  <c r="AH37" i="8"/>
  <c r="V37" i="8"/>
  <c r="AA37" i="8"/>
  <c r="J33" i="8"/>
  <c r="Z37" i="8"/>
  <c r="AF37" i="8"/>
  <c r="AB37" i="8"/>
  <c r="AG37" i="8"/>
  <c r="O37" i="8"/>
  <c r="AH35" i="8"/>
  <c r="AH36" i="8" s="1"/>
  <c r="S33" i="7"/>
  <c r="AA25" i="7"/>
  <c r="R31" i="7"/>
  <c r="J27" i="7"/>
  <c r="O28" i="7"/>
  <c r="O29" i="7" s="1"/>
  <c r="AA30" i="7" s="1"/>
  <c r="AB31" i="7"/>
  <c r="U31" i="7"/>
  <c r="V32" i="7"/>
  <c r="V31" i="7"/>
  <c r="AC32" i="7"/>
  <c r="P31" i="7"/>
  <c r="Y31" i="7"/>
  <c r="X31" i="7"/>
  <c r="X32" i="7"/>
  <c r="Q31" i="7"/>
  <c r="R32" i="7"/>
  <c r="AA34" i="7"/>
  <c r="W34" i="7"/>
  <c r="AA36" i="7"/>
  <c r="S34" i="7"/>
  <c r="O36" i="7"/>
  <c r="O34" i="7"/>
  <c r="O25" i="7"/>
  <c r="AA26" i="7" s="1"/>
  <c r="Z31" i="7"/>
  <c r="U32" i="7"/>
  <c r="T32" i="7"/>
  <c r="O31" i="7"/>
  <c r="P32" i="7"/>
  <c r="AC31" i="7"/>
  <c r="W32" i="7"/>
  <c r="W31" i="7"/>
  <c r="Q32" i="7"/>
  <c r="S31" i="7"/>
  <c r="Y32" i="7"/>
  <c r="S32" i="7"/>
  <c r="AA31" i="7"/>
  <c r="AA33" i="7"/>
  <c r="T31" i="7"/>
  <c r="AB32" i="7"/>
  <c r="AA32" i="7"/>
  <c r="Z32" i="7"/>
  <c r="R73" i="6"/>
  <c r="S73" i="6"/>
  <c r="AB33" i="5"/>
  <c r="AB34" i="5"/>
  <c r="X37" i="5"/>
  <c r="AB29" i="5"/>
  <c r="T37" i="5"/>
  <c r="P39" i="5"/>
  <c r="AB38" i="5"/>
  <c r="P29" i="5"/>
  <c r="X38" i="5"/>
  <c r="P37" i="5"/>
  <c r="AB40" i="5"/>
  <c r="T38" i="5"/>
  <c r="P40" i="5"/>
  <c r="P38" i="5"/>
  <c r="AB39" i="5"/>
  <c r="AA36" i="5"/>
  <c r="U36" i="5"/>
  <c r="O36" i="5"/>
  <c r="Y35" i="5"/>
  <c r="S35" i="5"/>
  <c r="Z36" i="5"/>
  <c r="T36" i="5"/>
  <c r="AD35" i="5"/>
  <c r="X35" i="5"/>
  <c r="R35" i="5"/>
  <c r="AB36" i="5"/>
  <c r="Y36" i="5"/>
  <c r="S36" i="5"/>
  <c r="AC35" i="5"/>
  <c r="W35" i="5"/>
  <c r="Q35" i="5"/>
  <c r="V36" i="5"/>
  <c r="AD36" i="5"/>
  <c r="X36" i="5"/>
  <c r="R36" i="5"/>
  <c r="AB35" i="5"/>
  <c r="V35" i="5"/>
  <c r="P35" i="5"/>
  <c r="P36" i="5"/>
  <c r="AC36" i="5"/>
  <c r="W36" i="5"/>
  <c r="Q36" i="5"/>
  <c r="AA35" i="5"/>
  <c r="U35" i="5"/>
  <c r="O35" i="5"/>
  <c r="J27" i="5"/>
  <c r="Z35" i="5"/>
  <c r="T35" i="5"/>
  <c r="W43" i="3"/>
  <c r="AA35" i="3"/>
  <c r="S43" i="3"/>
  <c r="O45" i="3"/>
  <c r="AA44" i="3"/>
  <c r="O35" i="3"/>
  <c r="W44" i="3"/>
  <c r="O43" i="3"/>
  <c r="AA46" i="3"/>
  <c r="S44" i="3"/>
  <c r="O44" i="3"/>
  <c r="O46" i="3"/>
  <c r="AA45" i="3"/>
  <c r="Z42" i="3"/>
  <c r="T42" i="3"/>
  <c r="N42" i="3"/>
  <c r="X41" i="3"/>
  <c r="R41" i="3"/>
  <c r="Y42" i="3"/>
  <c r="S42" i="3"/>
  <c r="AC41" i="3"/>
  <c r="W41" i="3"/>
  <c r="Q41" i="3"/>
  <c r="X42" i="3"/>
  <c r="R42" i="3"/>
  <c r="AB41" i="3"/>
  <c r="V41" i="3"/>
  <c r="P41" i="3"/>
  <c r="AC42" i="3"/>
  <c r="W42" i="3"/>
  <c r="Q42" i="3"/>
  <c r="AA41" i="3"/>
  <c r="U41" i="3"/>
  <c r="O41" i="3"/>
  <c r="AB42" i="3"/>
  <c r="V42" i="3"/>
  <c r="P42" i="3"/>
  <c r="Z41" i="3"/>
  <c r="T41" i="3"/>
  <c r="N41" i="3"/>
  <c r="I33" i="3"/>
  <c r="AA42" i="3"/>
  <c r="U42" i="3"/>
  <c r="O42" i="3"/>
  <c r="Y41" i="3"/>
  <c r="S41" i="3"/>
  <c r="AA43" i="3"/>
  <c r="AA24" i="13" l="1"/>
  <c r="AA26" i="14"/>
  <c r="AA36" i="3"/>
  <c r="AA33" i="13"/>
  <c r="O31" i="13"/>
  <c r="O33" i="13"/>
  <c r="O35" i="7"/>
  <c r="AA35" i="7"/>
  <c r="O33" i="7"/>
  <c r="AB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B8B64311-6968-478C-97A0-AABF57C8983A}">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FF9CA0AC-41DF-4911-A571-34DA313BA608}">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44A75009-CCB6-4E53-94D7-45C6880C7208}">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D11" authorId="0" shapeId="0" xr:uid="{63FF56BC-1537-44EA-91B5-5CE94E7D9E7A}">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G11" authorId="0" shapeId="0" xr:uid="{CE0AAF91-827C-4F7A-8A92-11B8A6A88E39}">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9B0AC973-011B-4E2E-82D8-43BDD963A7EB}">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CARLOS BAUTISTA NARVAEZ</author>
    <author>LEYDI PAOLA PADILLA TEQUIA</author>
    <author>DANILO ROJAS ORTIZ</author>
    <author>GIOVANNI MEDINA ORTIZ</author>
    <author>Admin</author>
    <author>tc={8CEB15D6-7383-4459-A329-285A94C6AEDA}</author>
    <author>LINA YHICEDT DUARTE KLINGER</author>
    <author>tc={3BB86032-391F-4F9B-AC34-CA47CD490B6A}</author>
    <author>tc={B0799338-7960-460E-806F-34EC23FB7FFC}</author>
    <author>tc={E11FA09A-E252-4083-9487-20A447FAF0EF}</author>
    <author>tc={643A0692-9DE1-4323-B500-C4BC0E9C4E6E}</author>
    <author>tc={6024C6F9-4370-4E33-A043-40E60DA1EF3A}</author>
  </authors>
  <commentList>
    <comment ref="A11" authorId="0" shapeId="0" xr:uid="{2265B1EB-344E-413C-BB7F-9018BB0B6C80}">
      <text>
        <r>
          <rPr>
            <b/>
            <sz val="9"/>
            <color rgb="FF000000"/>
            <rFont val="Tahoma"/>
            <family val="2"/>
          </rPr>
          <t xml:space="preserve">
Seleccione la opción según corresponda
</t>
        </r>
        <r>
          <rPr>
            <sz val="9"/>
            <color rgb="FF000000"/>
            <rFont val="Tahoma"/>
            <family val="2"/>
          </rPr>
          <t xml:space="preserve">
</t>
        </r>
      </text>
    </comment>
    <comment ref="D11" authorId="1" shapeId="0" xr:uid="{815BAC30-EFF6-4F10-82C9-7186BBBB777B}">
      <text>
        <r>
          <rPr>
            <sz val="9"/>
            <color indexed="81"/>
            <rFont val="Tahoma"/>
            <family val="2"/>
          </rPr>
          <t xml:space="preserve">Digite el Código UNSPSC según corresponda de acuerdo al listado señalado en la hoja "Código UNSPSC"
</t>
        </r>
      </text>
    </comment>
    <comment ref="E11" authorId="2" shapeId="0" xr:uid="{3C02E224-2304-4116-90A6-6711B381CD21}">
      <text>
        <r>
          <rPr>
            <b/>
            <sz val="9"/>
            <color rgb="FF000000"/>
            <rFont val="Tahoma"/>
            <family val="2"/>
          </rPr>
          <t>En esta columna se debe indicar el nombre del código seleccionado en la columna anterior.</t>
        </r>
      </text>
    </comment>
    <comment ref="F11" authorId="0" shapeId="0" xr:uid="{B55AE209-57B1-433D-A9E8-C9745AA7F74F}">
      <text>
        <r>
          <rPr>
            <b/>
            <sz val="9"/>
            <color rgb="FF000000"/>
            <rFont val="Tahoma"/>
            <family val="2"/>
          </rPr>
          <t xml:space="preserve">en esta columna se debe realizar una breve descripcion del bien o servicio a contratar.
</t>
        </r>
      </text>
    </comment>
    <comment ref="G11" authorId="3" shapeId="0" xr:uid="{BA3C1441-6949-4166-903A-72BA67BA9823}">
      <text>
        <r>
          <rPr>
            <b/>
            <sz val="9"/>
            <color rgb="FF000000"/>
            <rFont val="Tahoma"/>
            <family val="2"/>
          </rPr>
          <t>en esta columna se debe indicar el mes de inicio del proceso (el inicio de todas las acciones precontractuales, Previo al vencimiento del contrato vigente si lo hay o previo a la fecha de inicio de ejecución de la contratación requerida.</t>
        </r>
      </text>
    </comment>
    <comment ref="H11" authorId="3" shapeId="0" xr:uid="{41A506E0-F293-44F8-B7E9-EB0669F373EC}">
      <text>
        <r>
          <rPr>
            <b/>
            <sz val="9"/>
            <color rgb="FF000000"/>
            <rFont val="Tahoma"/>
            <family val="2"/>
          </rPr>
          <t>en esta columna se debe indicar el mes de recepción de ofertas posterior a la consecución de CDP.</t>
        </r>
      </text>
    </comment>
    <comment ref="I11" authorId="2" shapeId="0" xr:uid="{0D0C77B6-FD2C-48FB-81F5-BD6426130A04}">
      <text>
        <r>
          <rPr>
            <b/>
            <sz val="9"/>
            <color rgb="FF000000"/>
            <rFont val="Tahoma"/>
            <family val="2"/>
          </rPr>
          <t xml:space="preserve">DURACIÓN DEL CONTRATO PROYECTADO EN DIAS (Ejemplo: si el contrato es por un año el tiempo en días sera de 365 días)
</t>
        </r>
      </text>
    </comment>
    <comment ref="J11" authorId="4" shapeId="0" xr:uid="{34F04A19-55B1-4B45-A881-E1AD36E194C2}">
      <text>
        <r>
          <rPr>
            <b/>
            <sz val="9"/>
            <color rgb="FF000000"/>
            <rFont val="Tahoma"/>
            <family val="2"/>
          </rPr>
          <t>seleccione la opcion que corresponda según el tipo de modalidad</t>
        </r>
        <r>
          <rPr>
            <sz val="9"/>
            <color rgb="FF000000"/>
            <rFont val="Tahoma"/>
            <family val="2"/>
          </rPr>
          <t xml:space="preserve">
</t>
        </r>
      </text>
    </comment>
    <comment ref="K11" authorId="4" shapeId="0" xr:uid="{29172159-47DB-4C4A-9C2D-3FE006D9C7E3}">
      <text>
        <r>
          <rPr>
            <b/>
            <sz val="9"/>
            <color rgb="FF000000"/>
            <rFont val="Tahoma"/>
            <family val="2"/>
          </rPr>
          <t xml:space="preserve">Corresponde, al valor del presupuesto aprobado por la Junta Directiva.
</t>
        </r>
      </text>
    </comment>
    <comment ref="L11" authorId="0" shapeId="0" xr:uid="{EC4A9BE9-B5AE-4621-90D8-E21B6D8A42F0}">
      <text>
        <r>
          <rPr>
            <b/>
            <sz val="9"/>
            <color rgb="FF000000"/>
            <rFont val="Tahoma"/>
            <family val="2"/>
          </rPr>
          <t xml:space="preserve">en esta columna se debe indicar el porcentaje correspondiente al IVA, si no genera IVA el porcentaje sera 0
</t>
        </r>
      </text>
    </comment>
    <comment ref="M11" authorId="4" shapeId="0" xr:uid="{E0DB823C-E98C-4C10-869F-864D5AE5B6B4}">
      <text>
        <r>
          <rPr>
            <b/>
            <sz val="9"/>
            <color rgb="FF000000"/>
            <rFont val="Tahoma"/>
            <family val="2"/>
          </rPr>
          <t>Corresponde al valor IVA que genera el servicio o bien a contratar</t>
        </r>
      </text>
    </comment>
    <comment ref="O11" authorId="0" shapeId="0" xr:uid="{22262F18-CB63-494A-A1D3-F867F07C44FF}">
      <text>
        <r>
          <rPr>
            <b/>
            <sz val="9"/>
            <color rgb="FF000000"/>
            <rFont val="Tahoma"/>
            <family val="2"/>
          </rPr>
          <t>en esta columna se debe indicar si se requieren o no vigencias futuras.</t>
        </r>
      </text>
    </comment>
    <comment ref="P11" authorId="0" shapeId="0" xr:uid="{3B698941-00D8-47BA-8FAE-B5BBD3FDC565}">
      <text>
        <r>
          <rPr>
            <b/>
            <sz val="9"/>
            <color rgb="FF000000"/>
            <rFont val="Tahoma"/>
            <family val="2"/>
          </rPr>
          <t xml:space="preserve">seleccione la opción según corresponda.
</t>
        </r>
      </text>
    </comment>
    <comment ref="Q11" authorId="2" shapeId="0" xr:uid="{0858FC6D-AD02-4711-BD29-E1636BB31A77}">
      <text>
        <r>
          <rPr>
            <b/>
            <sz val="9"/>
            <color rgb="FF000000"/>
            <rFont val="Tahoma"/>
            <family val="2"/>
          </rPr>
          <t>Indicar el valor estimado de la contrtación SIN puntos, comas ni signos; SÓLO NÚMEROS. UNICAMENTE para esta vigencia</t>
        </r>
      </text>
    </comment>
    <comment ref="R11" authorId="0" shapeId="0" xr:uid="{1BD0171D-7391-46BF-9FB4-B124DBE84406}">
      <text>
        <r>
          <rPr>
            <b/>
            <sz val="9"/>
            <color rgb="FF000000"/>
            <rFont val="Tahoma"/>
            <family val="2"/>
          </rPr>
          <t>Indicar el valor estimado de la contrtación SIN puntos, comas ni signos; SÓLO NÚMEROS. UNICAMENTE para esta vigencia</t>
        </r>
      </text>
    </comment>
    <comment ref="S11" authorId="0" shapeId="0" xr:uid="{10BDE1F3-106E-4E23-8AF1-926A47D309ED}">
      <text>
        <r>
          <rPr>
            <b/>
            <sz val="9"/>
            <color rgb="FF000000"/>
            <rFont val="Tahoma"/>
            <family val="2"/>
          </rPr>
          <t>Indicar el valor estimado de la contrtación SIN puntos, comas ni signos; SÓLO NÚMEROS. UNICAMENTE para esta vigencia</t>
        </r>
      </text>
    </comment>
    <comment ref="T11" authorId="0" shapeId="0" xr:uid="{B5D1F9A0-2AB4-478C-BF7C-38FA87E96737}">
      <text>
        <r>
          <rPr>
            <b/>
            <sz val="9"/>
            <color rgb="FF000000"/>
            <rFont val="Tahoma"/>
            <family val="2"/>
          </rPr>
          <t>Indicar el valor estimado de la contrtación SIN puntos, comas ni signos; SÓLO NÚMEROS. UNICAMENTE para esta vigencia</t>
        </r>
        <r>
          <rPr>
            <sz val="9"/>
            <color rgb="FF000000"/>
            <rFont val="Tahoma"/>
            <family val="2"/>
          </rPr>
          <t xml:space="preserve">
</t>
        </r>
      </text>
    </comment>
    <comment ref="U11" authorId="2" shapeId="0" xr:uid="{8D870B51-CF53-4AB9-B1A3-F2ABA30A904E}">
      <text>
        <r>
          <rPr>
            <b/>
            <sz val="9"/>
            <color rgb="FF000000"/>
            <rFont val="Tahoma"/>
            <family val="2"/>
          </rPr>
          <t>FUNCIONARIO RESPONSABLE DE LA CONTRATACION</t>
        </r>
      </text>
    </comment>
    <comment ref="J28" authorId="5" shapeId="0" xr:uid="{8CEB15D6-7383-4459-A329-285A94C6AEDA}">
      <text>
        <t>[Comentario encadenado]
Su versión de Excel le permite leer este comentario encadenado; sin embargo, las ediciones que se apliquen se quitarán si el archivo se abre en una versión más reciente de Excel. Más información: https://go.microsoft.com/fwlink/?linkid=870924
Comentario:
    Audatex?</t>
      </text>
    </comment>
    <comment ref="N28" authorId="6" shapeId="0" xr:uid="{44908B1E-ECC4-4AA6-BF80-04A69ACEC9C5}">
      <text>
        <r>
          <rPr>
            <sz val="9"/>
            <color indexed="81"/>
            <rFont val="Tahoma"/>
            <family val="2"/>
          </rPr>
          <t xml:space="preserve">Incluye monto vigencia  2023 $203.632.800 IVA incluido.
</t>
        </r>
      </text>
    </comment>
    <comment ref="J31" authorId="7" shapeId="0" xr:uid="{3BB86032-391F-4F9B-AC34-CA47CD490B6A}">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los 12 contratos de ajustadores?</t>
      </text>
    </comment>
    <comment ref="J45" authorId="8" shapeId="0" xr:uid="{B0799338-7960-460E-806F-34EC23FB7FFC}">
      <text>
        <t>[Comentario encadenado]
Su versión de Excel le permite leer este comentario encadenado; sin embargo, las ediciones que se apliquen se quitarán si el archivo se abre en una versión más reciente de Excel. Más información: https://go.microsoft.com/fwlink/?linkid=870924
Comentario:
    Enviaron como aceptación de oferta</t>
      </text>
    </comment>
    <comment ref="J47" authorId="9" shapeId="0" xr:uid="{E11FA09A-E252-4083-9487-20A447FAF0E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es claro porq es directa
</t>
      </text>
    </comment>
    <comment ref="I97" authorId="10" shapeId="0" xr:uid="{643A0692-9DE1-4323-B500-C4BC0E9C4E6E}">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estimado</t>
      </text>
    </comment>
    <comment ref="K225" authorId="11" shapeId="0" xr:uid="{6024C6F9-4370-4E33-A043-40E60DA1EF3A}">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presupuesto sale de CX</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E11" authorId="0" shapeId="0" xr:uid="{59C6B3D5-C48A-4FB9-AEBC-8B501D75FDE9}">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L11" authorId="0" shapeId="0" xr:uid="{B6138F79-9288-4B68-AD44-2A768826FBF1}">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F11" authorId="0" shapeId="0" xr:uid="{70EC19F5-2191-449C-A82D-613CFBD34C7C}">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H11" authorId="0" shapeId="0" xr:uid="{D9C0F864-6CF3-484F-8338-42D5FE86DBEC}">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MITZI TATIANA FERRO</author>
  </authors>
  <commentList>
    <comment ref="AG17" authorId="0" shapeId="0" xr:uid="{71A17D32-4C66-447E-ACDF-D9B02F4381EB}">
      <text>
        <r>
          <rPr>
            <b/>
            <sz val="16"/>
            <color indexed="81"/>
            <rFont val="Aptos Narrow"/>
            <family val="2"/>
            <scheme val="minor"/>
          </rPr>
          <t xml:space="preserve">INTRODUZCA LA FECHA (AAAA-MM-DD) </t>
        </r>
        <r>
          <rPr>
            <sz val="16"/>
            <color indexed="81"/>
            <rFont val="Aptos Narrow"/>
            <family val="2"/>
            <scheme val="minor"/>
          </rPr>
          <t xml:space="preserve">y el avance respectivo frente a la actividad
(Cada vez que introduzca el seguimiento, no botrre los seguiminetos anteriores, deje la trazabilidad)
</t>
        </r>
      </text>
    </comment>
  </commentList>
</comments>
</file>

<file path=xl/sharedStrings.xml><?xml version="1.0" encoding="utf-8"?>
<sst xmlns="http://schemas.openxmlformats.org/spreadsheetml/2006/main" count="9722" uniqueCount="1773">
  <si>
    <t>e</t>
  </si>
  <si>
    <r>
      <rPr>
        <b/>
        <sz val="20"/>
        <color theme="1"/>
        <rFont val="Aptos Display"/>
        <family val="2"/>
        <scheme val="major"/>
      </rPr>
      <t>NOTA:</t>
    </r>
    <r>
      <rPr>
        <sz val="20"/>
        <color theme="1"/>
        <rFont val="Aptos Display"/>
        <family val="2"/>
        <scheme val="major"/>
      </rPr>
      <t xml:space="preserve"> Los Planes No. 04 y No. 05, no aplican a la Compañía.</t>
    </r>
  </si>
  <si>
    <t>CONTROL DE CAMBIOS</t>
  </si>
  <si>
    <t>VERSIÓN</t>
  </si>
  <si>
    <t>FECHA</t>
  </si>
  <si>
    <t>CAMBIOS REALIZADOS</t>
  </si>
  <si>
    <t>CREACIÓN DEL DOCUMENTO</t>
  </si>
  <si>
    <t>MODIFICACIÓN DE ACTIVIDADES RELACIONADAS CON EL PLAN ANTICORRUPCIÓN Y DE ATENCIÓN AL CIUDADANO</t>
  </si>
  <si>
    <t>PLAN INTEGRADO DE ACCIÓN ANUAL 2024 - PLAN SECTORIAL MINISTERIO DE HACIENDA Y CREDITO PÚBLICO</t>
  </si>
  <si>
    <t>CONTROL EJECUCIÓN</t>
  </si>
  <si>
    <t>ROJO</t>
  </si>
  <si>
    <t>CONTROL CUMPLIMIENTO</t>
  </si>
  <si>
    <t>VERDE</t>
  </si>
  <si>
    <t>RESPONSABLE SEGUIMIENTO:</t>
  </si>
  <si>
    <t>GERENCIA DE INNOVACIÓN Y PROCESOS</t>
  </si>
  <si>
    <t>TOTAL PROGRAMADO:</t>
  </si>
  <si>
    <t>TOTAL EJECUTADO GLOBAL</t>
  </si>
  <si>
    <t>META</t>
  </si>
  <si>
    <t xml:space="preserve">TOTAL CUMPLIMIENTO I CUATRIMESTRE </t>
  </si>
  <si>
    <t>TOTAL CUMPLIMIENTO II CUATRIMESTRE</t>
  </si>
  <si>
    <t>TOTAL CUMPLIMIENTO III CUATRIMESTRE</t>
  </si>
  <si>
    <t>PARTE 1. ALINEACIÓN PLANEACIÓN ESTRATÉGICA</t>
  </si>
  <si>
    <t>PARTE 2. PLANIFICACIÓN ACTIVIDADES 2024</t>
  </si>
  <si>
    <t>PARTE 3. SEGUIMIENTO CUANTITATIVO</t>
  </si>
  <si>
    <t>PARTE 4. SEGUIMIENTO CUALITATIVO</t>
  </si>
  <si>
    <t xml:space="preserve">No. </t>
  </si>
  <si>
    <t>OBJETIVO ESTRATÉGICO  SECTORIAL</t>
  </si>
  <si>
    <t>OBJETIVO ESTRATEGICO PREVISORA</t>
  </si>
  <si>
    <t>DIMENSIÓN MIPG</t>
  </si>
  <si>
    <t>POLÍTICA MIPG</t>
  </si>
  <si>
    <t>PLAN</t>
  </si>
  <si>
    <t>RESPONSABLE</t>
  </si>
  <si>
    <t>DESCRIPCIÓN TAREA</t>
  </si>
  <si>
    <t xml:space="preserve">MEDICIÓN   </t>
  </si>
  <si>
    <t>RECURSOS</t>
  </si>
  <si>
    <t>PRESUPUESTO (FUENTE DE FINANCIAMIENTO)</t>
  </si>
  <si>
    <t>SEGUIMIENTO</t>
  </si>
  <si>
    <t>FECHA INICIAL</t>
  </si>
  <si>
    <t>FECHA FINAL</t>
  </si>
  <si>
    <t>PLANIFICACIÓN</t>
  </si>
  <si>
    <t>% Peso actividad dentro del plan</t>
  </si>
  <si>
    <t xml:space="preserve">Total % de avance </t>
  </si>
  <si>
    <t>ENERO</t>
  </si>
  <si>
    <t>FEBRERO</t>
  </si>
  <si>
    <t>MARZO</t>
  </si>
  <si>
    <t>ABRIL</t>
  </si>
  <si>
    <t>MAYO</t>
  </si>
  <si>
    <t>JUNIO</t>
  </si>
  <si>
    <t>JULIO</t>
  </si>
  <si>
    <t>AGOSTO</t>
  </si>
  <si>
    <t>SEPTIEMBRE</t>
  </si>
  <si>
    <t>OCTUBRE</t>
  </si>
  <si>
    <t>NOVIEMBRE</t>
  </si>
  <si>
    <t>DICIEMBRE</t>
  </si>
  <si>
    <t>ENERO 2025</t>
  </si>
  <si>
    <t>SEGUIMIENTO I CUATRIMESTRE</t>
  </si>
  <si>
    <t>SEGUIMIENTO II CUATRIMESTRE</t>
  </si>
  <si>
    <t>SEGUIMIENTO III CUATRIMESTRE</t>
  </si>
  <si>
    <t>GR1. FORTALECER LOS MECANISMOS PARA UNA CULTURA DE TRANSPARENCIA Y PARTICIPACIÓN CIUDADANA EN LAS ENTIDADES DEL SECTOR HACIENDA</t>
  </si>
  <si>
    <t>#REPUTACIÓN CORPORATIVA</t>
  </si>
  <si>
    <t>DIMENSIÓN 3. GESTIÓN CON VALORES PARA RESULTADOS</t>
  </si>
  <si>
    <t>D3. PARTICIPACIÓN CIUDADANA EN LA GESTIÓN PÚBLICA</t>
  </si>
  <si>
    <t>GERENCIA DE SERVICIO</t>
  </si>
  <si>
    <t>Participar en las actividades que se definan en las mesas sectoriales de relacionamiento ciudadano</t>
  </si>
  <si>
    <t>Asistencia y participación entidades del Sector Hacienda.</t>
  </si>
  <si>
    <t>RECURSOS HUMANOS</t>
  </si>
  <si>
    <t>N/A</t>
  </si>
  <si>
    <t>TRIMESTRAL</t>
  </si>
  <si>
    <t>Ejecutado</t>
  </si>
  <si>
    <t>Programado</t>
  </si>
  <si>
    <t>GC1. FORTALECER LAS CAPACIDADES DEL TALENTO HUMANO Y PROMOVER LA CULTURA DE INTEGRIDAD DEL SECTOR HACIENDA</t>
  </si>
  <si>
    <t xml:space="preserve">DIMENSIÓN 5. INFORMACIÓN Y COMUNICACIÓN </t>
  </si>
  <si>
    <t xml:space="preserve">D5. TRANSPARENCIA, ACCESO A LA INFORMACIÓN PÚBLICA Y LUCHA CONTRA LA CORRUPCIÓN </t>
  </si>
  <si>
    <t>OFICINA DE CONTROL INTERNO DISCIPLINARIO</t>
  </si>
  <si>
    <t>Participar en las actividades que se definan en las mesas sectoriales de colectivo disciplinario</t>
  </si>
  <si>
    <t>RECURSOS HUMANOS - TÉCNOLOGICOS</t>
  </si>
  <si>
    <t>GR2. FORTALECER LA GESTIÓN DE CONOCIMIENTO E INNOVACIÓN EN LAS ENTIDADES DEL SECTOR HACIENDA</t>
  </si>
  <si>
    <t>#INNOVACIÓN APLICADA</t>
  </si>
  <si>
    <t xml:space="preserve">DIMENSIÓN 6. GESTIÓN DEL CONOCIMIENTO </t>
  </si>
  <si>
    <t xml:space="preserve">D6. GESTIÓN DEL CONOCIMIENTO Y LA INFORMACIÓN </t>
  </si>
  <si>
    <t xml:space="preserve">Participar en las actividades que se definan en la comunidad de practica sectorial de Gestión del Conocimiento e innovación </t>
  </si>
  <si>
    <t>GR3. PROMOVER LA TRASNFORMACIÓN DIGITAL EN LAS ENTIDADES DEL SECTOR PARA CONTRIBUIR A LA MODERNIZACIÓN DE LOS PROCESOS DE ENTREGA DE PRODUCTOS Y SERVICIOS DE CADA ENTIDAD</t>
  </si>
  <si>
    <t>#A UN CLIC</t>
  </si>
  <si>
    <t>D3. GOBIERNO DIGITAL</t>
  </si>
  <si>
    <t xml:space="preserve">GERENCIA DE TECNOLOGÍA DE LA INFORMACIÓN </t>
  </si>
  <si>
    <t>Participar en las actividades que convoque el líder temático de Gobierno Digital</t>
  </si>
  <si>
    <t>D3. SEGURIDAD DIGITAL</t>
  </si>
  <si>
    <t>GERENCIA DE RIESGOS</t>
  </si>
  <si>
    <t>Participar en las actividades que convoque el líder temático de Seguridad Digital</t>
  </si>
  <si>
    <t>#CULTURA RESILIENTE</t>
  </si>
  <si>
    <t>DIMENSIÓN 1. TALENTO HUMANO</t>
  </si>
  <si>
    <t>D1. TALENTO HUMANO</t>
  </si>
  <si>
    <t>GERENCIA DE TALENTO HUMANO</t>
  </si>
  <si>
    <t>Participar  en las mesas sectoriales, capacitaciones gestionadas por el Ministerio de Hacienda en el marco de la dimensión del Talento Humano</t>
  </si>
  <si>
    <t>GC2. FORTALECER LA GESTIÓN PÚBLICA A TRAVÉS DE PROCESOS ADMINISTRATIVOS, FINANCIEROS Y JURÍDICOS DEL SECTOR HACIENDA</t>
  </si>
  <si>
    <t>D3. DEFENSA JURÍDICA</t>
  </si>
  <si>
    <t>GERENCIA JURÍDICA</t>
  </si>
  <si>
    <t xml:space="preserve">Participar en las mesas sectoriales de la política de Defensa Jurídica del Sector Hacienda </t>
  </si>
  <si>
    <t>#AGILIDAD EMPRESARIAL</t>
  </si>
  <si>
    <t>D5. GESTIÓN DOCUMENTAL</t>
  </si>
  <si>
    <t>SUBGERENCIA DE RECURSOS FÍSICOS</t>
  </si>
  <si>
    <t>Participar en las mesas y actividades sectoriales de Gestión Documental</t>
  </si>
  <si>
    <t xml:space="preserve">Participación en las reuniones de la mesa sectorial de entidades del sector hacienda - la reunión esta convocada para el 22 de mayo. </t>
  </si>
  <si>
    <t>#PROPÓSITO COLOMBIA</t>
  </si>
  <si>
    <t>D3. FORTALECIMIENTO ORGANIZACIONAL Y SIMPLIFICACIÓN DE PROCESOS</t>
  </si>
  <si>
    <t>SECRETARÍA GENERAL</t>
  </si>
  <si>
    <t>Participar en las mesas y actividades sectoriales de Gestión Ambiental</t>
  </si>
  <si>
    <t>Ejecutado por semana</t>
  </si>
  <si>
    <t>Ejecutado por mes</t>
  </si>
  <si>
    <t>Ejecutado por trimestre</t>
  </si>
  <si>
    <t>Ejecutado por año acumulado</t>
  </si>
  <si>
    <t>Programado por semana</t>
  </si>
  <si>
    <t>Programado por mes</t>
  </si>
  <si>
    <t>Programado por trimestre</t>
  </si>
  <si>
    <t>Programado por año acumulado</t>
  </si>
  <si>
    <t>% C SEMANAL A / META SEMANAL A</t>
  </si>
  <si>
    <t>% C SEMANAL ACUMULADO / META PW</t>
  </si>
  <si>
    <t>%C MES / META MES</t>
  </si>
  <si>
    <t>%C MES ACUMULADO / META PW</t>
  </si>
  <si>
    <t>%C TRIMESTRE / META TRIMESTRE A</t>
  </si>
  <si>
    <t>%C TRIMESTRE / META PW</t>
  </si>
  <si>
    <t xml:space="preserve">SEGUIMIENTO </t>
  </si>
  <si>
    <t>#DECISIONES CON DATOS</t>
  </si>
  <si>
    <t>PLAN INSTITUCIONAL ANUAL</t>
  </si>
  <si>
    <t>ASAMBLEA GENERAL DE ACCIONISTAS</t>
  </si>
  <si>
    <t>MENSUAL</t>
  </si>
  <si>
    <t>DIMENSIÓN 2. DIRECCIONAMIENTO ESTRATÉGICO</t>
  </si>
  <si>
    <t>D1. INTEGRIDAD</t>
  </si>
  <si>
    <t>PLAN INSTITUCIONAL DE ARCHIVOS</t>
  </si>
  <si>
    <t>REVISOR FÍSCAL</t>
  </si>
  <si>
    <t xml:space="preserve">D2. PLANEACIÓN INSTITUCIONAL </t>
  </si>
  <si>
    <t>PLAN ANUAL DE ADQUISICIONES</t>
  </si>
  <si>
    <t>JUNTA DIRECTIVA</t>
  </si>
  <si>
    <t>SEMESTRAL</t>
  </si>
  <si>
    <t>DIMENSIÓN 4. EVALUACIÓN DE RESULTADOS</t>
  </si>
  <si>
    <t>D2. GESTIÓN PRESUPUESTAL Y EFICIENCIA EN EL GASTO PÚBLICO</t>
  </si>
  <si>
    <t>PLAN ESTRATÉGICO DE TALENTO HUMANO</t>
  </si>
  <si>
    <t>PRESIDENCIA</t>
  </si>
  <si>
    <t>D2. COMPRAS Y CONTRATACIÓN PÚBLICA</t>
  </si>
  <si>
    <t xml:space="preserve">PLAN INSTITUCIONAL DE CAPACITACIÓN </t>
  </si>
  <si>
    <t>CONTROL INTERNO</t>
  </si>
  <si>
    <t>GM1. LOGRAR LA SOSTENIBILIDAD FISCAL A TRAVÉS DEL RECAUDO, CONTROL EFECTIVO Y GENERACIÓN DE CULTURA DE LEGALIDAD</t>
  </si>
  <si>
    <t>#CLIENTE CÉNTRICO</t>
  </si>
  <si>
    <t>PLAN DE INCENTIVOS INSTITUCIONALES</t>
  </si>
  <si>
    <t>GM2. IMPLEMENTAR Y FORTALECER INSTRUMENTOS ECONOMICOS Y FINANCIEROS A TRAVÉS DE INVERSIONES TEMATICAS O CONVENIOS DE COFINANCIACIÓN, PARA CONTRIBUIR AL CAMBIO CLIMATICO Y AL USO SOSTENIBLE DE LA BIODIVERSIDAD</t>
  </si>
  <si>
    <t>#ALIANZAS ESTRATÉGICAS</t>
  </si>
  <si>
    <t>DIMENSIÓN 7. CONTROL INTERNO</t>
  </si>
  <si>
    <t>PLAN DE TRABAJO ANUAL DE SEGURIDAD Y SALUD EN EL TRABAJO</t>
  </si>
  <si>
    <t>OFICIAL DE CUMPLIMIENTO</t>
  </si>
  <si>
    <t xml:space="preserve">GM3. DINAMIZAR LA BANCA DE DESARROLLO PARA LA INCLUSIÓN FINANCIERA, COMO INSTRUMENTO QUE INCENTIVE Y ESTIMULE LA COMPETITIVIDAD, INVERSIÓN, LA ECONOMIA POPULAR Y DESARROLLO </t>
  </si>
  <si>
    <t>#RENTABILIDAD</t>
  </si>
  <si>
    <t>PLAN ANTICORRUPCIÓN Y DE ATENCIÓN AL CIUDADANO</t>
  </si>
  <si>
    <t>PLAN ESTRATÉGICO DE TIC</t>
  </si>
  <si>
    <t>D3. MEJORA NORMATIVA</t>
  </si>
  <si>
    <t xml:space="preserve">PLAN DE TRATAMIENTO DE RIESGOS DE SEGURIDAD Y PRIVACIDAD DE LA INFORMACIÓN </t>
  </si>
  <si>
    <t>D3. SERVICIO AL CIUDADANO</t>
  </si>
  <si>
    <t xml:space="preserve">PLAN DE SEGURIDAD Y PRIVACIDAD DE LA INFORMACIÓN </t>
  </si>
  <si>
    <t>D3. RACIONALIZACIÓN DE TRAMITES</t>
  </si>
  <si>
    <t>PLAN SECTORIAL</t>
  </si>
  <si>
    <t>VICEPRESIDENCIA TÉCNICA</t>
  </si>
  <si>
    <t>OFICINA DE PREVENCIÓN DE RIESGOS</t>
  </si>
  <si>
    <t xml:space="preserve">D4. SEGUIMIENTO Y EVALUACIÓN DEL DESEMPEÑO INSTITUCIONAL </t>
  </si>
  <si>
    <t>GERENCIA DE REASEGUROS Y COASEGUROS</t>
  </si>
  <si>
    <t>GERENCIA DE ACTUARÍA</t>
  </si>
  <si>
    <t>GERENCIA TÉCNICA DE SOAT</t>
  </si>
  <si>
    <t>D5. GESTIÓN DE LA INFORMACIÓN ESTADÍSTICA</t>
  </si>
  <si>
    <t>GERENCIA TÉCNICA DE AUTOMOVILES</t>
  </si>
  <si>
    <t>GERENCIA TÉCNICA DE SEGUROS PATRIMONIALES Y VIDA</t>
  </si>
  <si>
    <t xml:space="preserve">D7. CONTROL INTERNO </t>
  </si>
  <si>
    <t>OFICINA DE CUMPLIMIENTO Y LINEAS FINANCIERAS</t>
  </si>
  <si>
    <t>OFICINA DE RESPONSABILIDAD CIVIL</t>
  </si>
  <si>
    <t>OFICINA DE VIDA GRUPO Y AP</t>
  </si>
  <si>
    <t>GERENCIA TÉCNICA DE SEGUROS GENERALES E INGENIERÍAS</t>
  </si>
  <si>
    <t>OFICINA DE TRANSPORTES</t>
  </si>
  <si>
    <t>OFICINA DE INCENDIO Y LINEAS ALIADAS</t>
  </si>
  <si>
    <t>OFICINA DE RAMOS TÉCNICOS</t>
  </si>
  <si>
    <t>VICEPRESIDENCIA FINANCIERA</t>
  </si>
  <si>
    <t>GERENCIA DE INVERSIONES</t>
  </si>
  <si>
    <t>GERENCIA CONTABLE Y TRIBUTARIA</t>
  </si>
  <si>
    <t>OFICINA DE CONTABILIDAD E IMPUESTOS</t>
  </si>
  <si>
    <t>GERENCIA DE PLANEACIÓN FINANCIERA</t>
  </si>
  <si>
    <t>GERENCIA DE CARTERA</t>
  </si>
  <si>
    <t>ACTUARIO RESPONSABLE</t>
  </si>
  <si>
    <t>VICEPRESIDENCIA JURÍDICA</t>
  </si>
  <si>
    <t>GERENCIA DE LITIGIOS</t>
  </si>
  <si>
    <t xml:space="preserve">GERENCIA DE CONTRATACIÓN </t>
  </si>
  <si>
    <t>VICEPRESIDENCIA COMERCIAL</t>
  </si>
  <si>
    <t>GERENCIA DE NEGOCIOS ESTATALES</t>
  </si>
  <si>
    <t>GERENCIA DE DESARROLLO COMERCIAL</t>
  </si>
  <si>
    <t>GERENCIA DE NEGOCIOS PRIVADOS</t>
  </si>
  <si>
    <t>OFICINA DE MERCADEO Y PUBLICIDAD</t>
  </si>
  <si>
    <t>VICEPRESIDENCIA DE INDEMNIZACIONES</t>
  </si>
  <si>
    <t>GERENCIA DE INDEMNIZACIONES SEGUROS GENERALES Y PATRIMONIALES</t>
  </si>
  <si>
    <t>GERENCIA DE INDEMNIZACIONES AUTOMOVILES</t>
  </si>
  <si>
    <t>GERENCIA DE INDEMNIZACIONES SOAT - VIDA - AP</t>
  </si>
  <si>
    <t>OFICINA DE INDEMNIZACIONES ZONA OCCIDENTE</t>
  </si>
  <si>
    <t>OFICINA DE INDEMNIZACIONES ZONA NORTE</t>
  </si>
  <si>
    <t>OFICINA DE INDEMNIZACIONES ZONA CENTRO</t>
  </si>
  <si>
    <t>VICEPRESIDENCIA DE DESARROLLO CORPORATIVO</t>
  </si>
  <si>
    <t xml:space="preserve">GERENCIA DE PLANEACIÓN   </t>
  </si>
  <si>
    <t>SUBGERENCIA DE TRANSFORMACIÓN DIGITAL</t>
  </si>
  <si>
    <t>SUBGERENCIA DE MEJORAMIENTO DE PROCESOS</t>
  </si>
  <si>
    <t>SUBGERENCIA DE PLANEACIÓN Y PROYECTOS T.I</t>
  </si>
  <si>
    <t xml:space="preserve">SUBGERENCIA DE INFRAESTRUCTURA Y SERVICIOS TECNOLÓGICOS </t>
  </si>
  <si>
    <t xml:space="preserve">SUBGERENCIA DE MANTENIMIENTO DE SISTEMAS DE INFORMACIÓN </t>
  </si>
  <si>
    <t>OFICINA DE ARQUITECTURA EMPRESARIAL</t>
  </si>
  <si>
    <t>SUCURSALES</t>
  </si>
  <si>
    <t>PLAN INTEGRADO DE ACCIÓN ANUAL 2024 - PLAN INSTITUCIONAL CORPORATIVO</t>
  </si>
  <si>
    <t>GERENCIA DE INNOVACIÓN Y PROCESOS
GERENCIA DE PLANEACIÓN</t>
  </si>
  <si>
    <t>TOTAL EJECUTADO GLOBAL:</t>
  </si>
  <si>
    <t xml:space="preserve">TOTAL CUMPLIMIENTO I TRIMESTRE </t>
  </si>
  <si>
    <t>TOTAL CUMPLIMIENTO II TRIMESTRE</t>
  </si>
  <si>
    <t>TOTAL CUMPLIMIENTO III TRIMESTRE</t>
  </si>
  <si>
    <t>TOTAL CUMPLIMIENTO IV TRIMESTRE</t>
  </si>
  <si>
    <t>CORRESPONDABLE</t>
  </si>
  <si>
    <t>INICIATIVA</t>
  </si>
  <si>
    <t>SEGUIMIENTO I TRIMESTRE</t>
  </si>
  <si>
    <t>SEGUIMIENTO II TRIMESTRE</t>
  </si>
  <si>
    <t>SEGUIMIENTO III TRIMESTRE</t>
  </si>
  <si>
    <t>SEGUIMIENTO IV TRIMESTRE</t>
  </si>
  <si>
    <t xml:space="preserve">PLAN INSTITUCIONAL </t>
  </si>
  <si>
    <t>Mejorar Índice de Cultura Resiliente</t>
  </si>
  <si>
    <t>Medición a través del cuestionario de cultura aplicado de acuerdo con la metodología establecida por el consultor Plurum. 
F: Resultado encuesta de cultura.</t>
  </si>
  <si>
    <t>Humanos
Financieros</t>
  </si>
  <si>
    <t>Gastos de Operación - Recursos Propios</t>
  </si>
  <si>
    <t>NO APLICA SEGUIMIENTO PARA ESTE PERIODO</t>
  </si>
  <si>
    <t xml:space="preserve">Mejorar Índice de Política de Integridad MIPG - Componente Código de ética y conducta </t>
  </si>
  <si>
    <t>Gestionar el cambio cultural basado en la implementación del código de integridad y acciones preventivas en conlficto de interés</t>
  </si>
  <si>
    <t>Cumplimiento plan de trabajo cierre de brechas política de integridad con base en medición FURAG</t>
  </si>
  <si>
    <t xml:space="preserve">En el primer trimestre se comenzo con la socialización de la campaña de valores corporativos de la Compañía y dentro del proceso de inducción de nuevos funcionarios se realiza la socialización de valores </t>
  </si>
  <si>
    <t>Participación de emisores que desarrollen planes ASG y administración de riesgos de transición climática</t>
  </si>
  <si>
    <t>(# de emisores con iniciativas ASG y administración de riesgos de transición climática / # total emisores aprobados) *100.</t>
  </si>
  <si>
    <t>Humanos 
Tecnológicos
Financieros</t>
  </si>
  <si>
    <t>Se reporta indicador para el I Trimestre, el cual arrojó un 95.2% de resultado</t>
  </si>
  <si>
    <t>Medir los ahorros generados en el presupuesto de gastos administrativos y comerciales, producto de menores valores adjudicados o presupuestos no utilizados.</t>
  </si>
  <si>
    <t xml:space="preserve"> Ahorros de presupuesto / (Presupuesto de gastos administrativos, tecnológicos y comerciales)
NOTA: No se incluye presupuesto de proyectos e iniciativas. </t>
  </si>
  <si>
    <t>Se generaron ahorros por $83.6 millones asociados a gastos administrativos y tecnológicos.</t>
  </si>
  <si>
    <t>Mejorar Índice de Política de Compras y Contratación Pública</t>
  </si>
  <si>
    <t>Evaluar la aplicación lineamientos normativos, documentos estandar e instrumentos dados por CCE</t>
  </si>
  <si>
    <t>Lineamientos normativos - Documentos Estandar - Instrumentos de contratación pública implementados en el proceso Gestionar Bienes y Servicios</t>
  </si>
  <si>
    <t>Durante el primer trimestre de 2024, se realizaron mesas de trabajo con los profesionales de la gerencia de contratación y los asesores externos, para revisión del manual de contratación actual, revisión manual de supervisión actual, el proceso de adquisición de bienes y servicios y los procedimientos generados en la elaboración de estudios de mercado, revisando la aplicación e implementación de los lineamientos y normatividad generada desde Colombia Compra Eficiente. Se adjuntan actas de reunión o mesas de trabajo realizadas.</t>
  </si>
  <si>
    <t>Cumplimiento del Plan de Mantenimiento del SGI (Sistema de Gestión Integral)</t>
  </si>
  <si>
    <t xml:space="preserve">Cumplir con el Plan de Mantenimiento del SGI  para cerrar brechas identificadas la medición del MIPG, y mantenimiento de las normas ISO 9001, ISO 14001 y su integración con otros sistemas de gestión de la compañía no certificados. </t>
  </si>
  <si>
    <t>Plan medido (% Avance Real / % Planeado).
Nota: Basado en un cronograma definido para alcanzar el 100% del alcance</t>
  </si>
  <si>
    <t>RECURSOS HUMANOS
RECURSOS FINANCIEROS
RECURSOS TECNOLÓGICOS</t>
  </si>
  <si>
    <t xml:space="preserve">Para el primer trimestre se cumplio con lo programado en el plan, algunas de las actividades desarrolladas en este periodo fueron: Elaboración del plan de integración Fase V, formulación del Plan de acción anual para el 2024, envío a los lideres de políticas del MIPG y publicación del plan antes del 31 de enero en la Pagina web, se inició el proceso de medición de los objetivos del SGI con corte al segundo semestre del 2023, se generó la estrategia para profundización del SGI en sucursales a través de concurso diseñado el cual esta en evaluación por parte del comité de incentivos, se realizó el Backup de los documentos de Isolución a la NAS del cuarto trimestre del 2023, se realizó en Enero el cierre del plan de acción anual 2023 con el seguimiento y registro de evidencias, se solicitaron los reportes de las Salidas No conformes y se elaboró informe con corte trimestre 4 2023, se realizaron los informes mensuales de documentos actualizados en Isolucion para enviar por comunicaciones, se realizaron los seguimientos mensuales al vencimiento de las acciones de mejora, se hizo el seguimiento trimestral a las acciones de mejora sin plan de acción formulado en mas de 30 días, se hizo seguimiento mensual a las solicitudes documentales que llevan mas de 30 días en flujo y se hizo el seguimiento al reporte y resultados de indicadores con corte a 31 de dic 2023. </t>
  </si>
  <si>
    <t>GERENCIA DE PLANEACIÓN</t>
  </si>
  <si>
    <t>Mejorar el índice en la medición de madurez digital</t>
  </si>
  <si>
    <t>Medición utilizando el instrumento de madurez digital establecido por la PWC y ajustado por Previsora. 
F: Media geométrica de los resultados de cada dimensión.</t>
  </si>
  <si>
    <t>Gestionar el cumplimiento de sentencias y conciliaciones</t>
  </si>
  <si>
    <t xml:space="preserve">Indicador de cumplimiento de sentencias y conciliaciones formulado y medido: 
Cantidad de fallos sentencias y conciliaciones pagadas/Cantidad de fallos sentencias y conciliaciones generadas *100
</t>
  </si>
  <si>
    <r>
      <rPr>
        <sz val="11"/>
        <color rgb="FF000000"/>
        <rFont val="Calibri"/>
        <family val="2"/>
      </rPr>
      <t xml:space="preserve">Durante el primer trimestre de 2024, se realizó la formulación del respectivo indicador para calcular el cumplimiento de pago de fallos, sentencias y conciliaciones generadas en los diferentes procesos litigiosos donde La Previsora es parte.
Resultado primer trimestre: 
</t>
    </r>
    <r>
      <rPr>
        <b/>
        <sz val="11"/>
        <color rgb="FF000000"/>
        <rFont val="Calibri"/>
        <family val="2"/>
      </rPr>
      <t xml:space="preserve">279/306=91,2%
</t>
    </r>
    <r>
      <rPr>
        <sz val="11"/>
        <color rgb="FF000000"/>
        <rFont val="Calibri"/>
        <family val="2"/>
      </rPr>
      <t>Se adjunta base de datos con los fallos, sentencias y conciliaciones generados y pagados.</t>
    </r>
  </si>
  <si>
    <t>Impacto Educación Financiera</t>
  </si>
  <si>
    <t>Número de colombianos alcanzados con los contenidos de Educación Financiera
F:  Incrementar 15.000 usuarios nuevos en el programa de Saber Seguro 
# de usuarios nuevos.</t>
  </si>
  <si>
    <t>Durante el primer trimestre se identificó una participación de 7.481 usuarios nuevos en el Programa, resultado de la gestión realizada a través de la campaña que se viene trabajando para los clientes que tienen una póliza SOAT con la Compañía, mediante el cual se invita a realizar el curso disponible para el producto en el Programa y adicionalmente, se participó en 5 ferias con el Programa de Educación Financiera Saber Seguro.</t>
  </si>
  <si>
    <t>Cumplir con el Plan Estratégico de la compañía</t>
  </si>
  <si>
    <t>% de cumplimiento global Plan Estratégico 2024</t>
  </si>
  <si>
    <t>Al corte de marzo 2024, el Mapa Estratégico Corporativo presenta un cumplimiento del 102.3%. 
En cuanto a las perspectivas presentan los siguientes comportamientos: 
- Sostenibilidad 109%: Apalancado por los objetivos #Reputación Corporativa 120%; #Rentabilidad 116% y #Propósito Colombia 91%.
- Cliente y Mercado 88%: Impactado por el cumplimiento de la directriz #Cliente Céntrico.
- Procesos Internos 110%: Apalancado por los objetivos de #A un Clic, #Innovacación Aplicada 111% y #Agilidad Empresarial 100%.
- Aprendizaje y Desarrollo 105%: Apalancado por el objetivo de #Decisiones con Datos 105%.</t>
  </si>
  <si>
    <t>Atender los lineamientos de la Ley 1712 de 2014, la Resolución 1519 de 2020 expedida por el MinTIC y las Directrices del Departamento Administrativo de la Función Pública (Transparencia) asegurar la integralidad y veracidad de la información publicada.</t>
  </si>
  <si>
    <t>Mantener actualizados los componentes de  la sección de Transparencia y acceso a la información pública en la página web</t>
  </si>
  <si>
    <t>#Actualizaciones sección de transparencia y acceso a la información pública realizados / # total de solicitudes de actualización de la sección de transparencia y acceso a la información pública trimestrales</t>
  </si>
  <si>
    <t>En el primer cuatrimestre se realizaron en 100% de actulizaciones vs solicitudes del componente de Transparencia de la información</t>
  </si>
  <si>
    <t>Gestionar la innovación </t>
  </si>
  <si>
    <t>Diagnosticar y proponer Ruta estratégica de innovación</t>
  </si>
  <si>
    <t># de Actividades ejecutadas de la ruta de la estrategica de la innovación vigencia 2024 / # de Actividades programadas de la ruta de la estrategia de la innovación vigencia 2024</t>
  </si>
  <si>
    <t>30/06//2024</t>
  </si>
  <si>
    <t>RUTA ESTRATÉGICA DE INNOVACIÓN - I FASE
Seguimientos
* Reuniones de seguimiento
* Levantamiento y análisis de la información
* Reunión de co-creación de talleres y actividades conjuntas a lo largo del proyecto
Talleres
* Uff que Locura – Conectando Circuitos – Gerentes Sucursales (14-03-2024)
* Innovar con propósito – Alta Dirección (15-03-2024)
* Taller Derrumbando los mitos de la Innovación – Funcionarios (19-03-2024)
* Taller en Espíritu Innovador y Competencias Clave</t>
  </si>
  <si>
    <t>Gestión de ideas (Problemas y/o necesidades)
Por demanda</t>
  </si>
  <si>
    <t># Ideas gestionadas / # Ideas recibidas</t>
  </si>
  <si>
    <t>Se implentara con el ejercicio de Innovación Interna</t>
  </si>
  <si>
    <t xml:space="preserve">Porcentaje de participación de trabajadores en actividades del SGIN </t>
  </si>
  <si>
    <t># de empleados participantes en la gestión de innovación de la Compañía / (# total de empleados de la Previsora*0.10%)</t>
  </si>
  <si>
    <t>GESTIÓN DE INNOVACIÓN
* Ruta estratégica - Innovar con propósito – Alta Dirección (15 Participantes)</t>
  </si>
  <si>
    <t>Cumplir con el Plan de Mantenimiento del SGIN  para cerrar brechas identificadas en la medición del MIPG y respaldar el Sello de Buenas Prácticas de Innovación.</t>
  </si>
  <si>
    <t>Plan medido (% Avance Real / % Planeado).
Nota: Basado en un cronograma definido para alcanzar el 100% del alcance</t>
  </si>
  <si>
    <t xml:space="preserve">Se ha realizado seguimiento a la documentación del proceso, revisión de los indicadores y a la definición del procedimiento de Propiedad Intelectual. </t>
  </si>
  <si>
    <t>Ejecutar actividades de Mantenimiento del Sistema de Control Interno de la compañía de conformidad con las brechas identificadas en la medición del MECI y FURAG.</t>
  </si>
  <si>
    <t>Publicación y socialización con la compañía de la actualización de las Políticas de Control Interno y del Plan Anticorrupción y de Atención al Ciudadano, para apropiación de los roles y responsabilidades.</t>
  </si>
  <si>
    <t xml:space="preserve">Publicaciones y socializaciones de las políticas de Control Interno y del Plan Anicorrupción y de Atención al Ciudadano. </t>
  </si>
  <si>
    <t>PLAN INTEGRADO DE ACCIÓN ANUAL 2024 - PLAN INSTITUCIONAL DE ARCHIVO</t>
  </si>
  <si>
    <t>PARTE 2. PLANIFICACIÓN ACTIVIDADES 2023</t>
  </si>
  <si>
    <t>OBJETIVO PINAR</t>
  </si>
  <si>
    <t>ACTIVIDAD ANUAL</t>
  </si>
  <si>
    <t>Elaborar, implementar y hacer seguimiento a los instrumentos archivisticos que contempla la normatividad vigente</t>
  </si>
  <si>
    <t>Actualización Instrumentos archivísticos (Programa de gestión documental PGD - Plan Institucional de Archivos PINAR) Elaboración de Tablas de control de Acceso TCA</t>
  </si>
  <si>
    <t>Actividades ejecutadas del Plan Institucional de Archivos - PINAR  /Actividades planeadas en el Plan Institucional de Archivos -Pinar</t>
  </si>
  <si>
    <t>Presupuesto contemplado en Servicios de manejo documental</t>
  </si>
  <si>
    <t xml:space="preserve">Presupuesto contemplado Gastos de archivo y microfilmación </t>
  </si>
  <si>
    <t>Trimestral</t>
  </si>
  <si>
    <t xml:space="preserve">Conformación de sitio para inventarios de gestión de la Compañia. </t>
  </si>
  <si>
    <t xml:space="preserve">Asegurar que los documentos que se produzcan y tramitan en medio electrónico, toda su gestión  y permanencia durante su ciclo vital se desarrolle en este mismo medio, conformando expedientes electrónicos. </t>
  </si>
  <si>
    <t>Implementación Sistema de gestión de documentos electrónicos de Archivo - SGDEA</t>
  </si>
  <si>
    <t xml:space="preserve">Seguimiento a la conformación de la estructura de la NAS - de acuerdo con las Tablas de retención documental, por todas las áreas de la compañia. </t>
  </si>
  <si>
    <t xml:space="preserve">Organizar el Fondo Documental Acumulado de la compañía con el fin de racionalizar recursos de custodia y almacenamiento, garantizando el ciclo vital de los documentos. </t>
  </si>
  <si>
    <t>Elaboración Tablas de valoración Documental</t>
  </si>
  <si>
    <t xml:space="preserve">Consolidación de inventarios para definición de periodos para elaboración de las tablas de valoración dcoumental - TVD. </t>
  </si>
  <si>
    <t>Elaborar, administrar y hacer seguimiento al sistema integrado de Conservación, teniendo en cuenta los diferentes medios y formatos en los que se produce la documentación con el fin de asegurar las condiciones óptimas de los registros y expedientes de la compañia.</t>
  </si>
  <si>
    <t>Actualización Instrumentos archivísticos (Sistema Integrado de Conservación SIC)  - Elaboración el Plan de Preservación Digital.</t>
  </si>
  <si>
    <t xml:space="preserve">Seguimiento al dessarrollo de los programas definidos en el Sistema integrado de conservación - SIC </t>
  </si>
  <si>
    <t xml:space="preserve">Gestionar la convalidación ante el ente rector de las TRD a fin de garantizar la retención y disposición final de los documentos de la Compañia. </t>
  </si>
  <si>
    <t xml:space="preserve">gestionar la Inscripción en el Registro único de Series Documentales — RUSD ante el ente rector AGN </t>
  </si>
  <si>
    <t xml:space="preserve">ELaboración borrador documento de entrega al archivo general de la nación - AGN. </t>
  </si>
  <si>
    <t xml:space="preserve">Sensibilizar, capacitar y divulgar a los servidores de la Compañía sobre la importancia del manejo de la información que produce en razón de sus funciones, haciendo énfasis en el manejo de OnBase y los procesos y procedimientos de gestión documental. </t>
  </si>
  <si>
    <t>Plan de Capacitación funcionarios, Participación Mesas Sectoriales en Gestión Documental</t>
  </si>
  <si>
    <t xml:space="preserve">Capacitaciones sobre inventarios de gestión, transferencias y archivos en la NAS. </t>
  </si>
  <si>
    <t>EJECUTADO</t>
  </si>
  <si>
    <t>PROGRAMADO</t>
  </si>
  <si>
    <t xml:space="preserve">% DE AVANCE PW  </t>
  </si>
  <si>
    <t xml:space="preserve">% META PROGRAMADA  </t>
  </si>
  <si>
    <t xml:space="preserve">% CUMPLIMIENTO  </t>
  </si>
  <si>
    <t>PLAN INTEGRADO DE ACCIÓN ANUAL 2024 - PLAN ANUAL DE ADQUISICIONES</t>
  </si>
  <si>
    <t>cm / suc</t>
  </si>
  <si>
    <t>Vicepresidencia</t>
  </si>
  <si>
    <t>área / sucursal</t>
  </si>
  <si>
    <t>Códigos UNSPSC</t>
  </si>
  <si>
    <t>Descripción del código UNSPSC</t>
  </si>
  <si>
    <t>Descripción corta del bien o servicio a contratar</t>
  </si>
  <si>
    <t>Mes estimado para el inicio proceso selección</t>
  </si>
  <si>
    <t>Mes estimado para la presentación de ofertas</t>
  </si>
  <si>
    <t>Duración estimada  contrato en meses</t>
  </si>
  <si>
    <t xml:space="preserve">Modalidad  selección </t>
  </si>
  <si>
    <t>Valor Total de la Contratación
(Sin IVA)</t>
  </si>
  <si>
    <t>Porcentaje de IVA</t>
  </si>
  <si>
    <t>Valor IVA</t>
  </si>
  <si>
    <t>Valor total estimado</t>
  </si>
  <si>
    <t>¿Se requieren vigencias futuras?</t>
  </si>
  <si>
    <t>Estado de solicitud de vigencias futuras</t>
  </si>
  <si>
    <t xml:space="preserve">Valor presupuesto Vigencia 2024
incluido IVA
</t>
  </si>
  <si>
    <t>Valor presupuesto Vigencia 2025
incluido IVA</t>
  </si>
  <si>
    <t>Valor presupuesto Vigencia 2026
incluido IVA</t>
  </si>
  <si>
    <t>Valor presupuesto Vigencia 2027
incluido IVA</t>
  </si>
  <si>
    <t>Nombre de contacto del responsable</t>
  </si>
  <si>
    <t>Observaciones</t>
  </si>
  <si>
    <t>Valor contratación antes de IVA 2024</t>
  </si>
  <si>
    <t>Rubro pptal validado</t>
  </si>
  <si>
    <t>Subrubro pptal validado</t>
  </si>
  <si>
    <t>Concepto pptal validado</t>
  </si>
  <si>
    <t>Casa Matriz</t>
  </si>
  <si>
    <t>Presidencia</t>
  </si>
  <si>
    <t>Oficina de Control Interno</t>
  </si>
  <si>
    <t>Servicios de consultoría de negocios y administración corporativa</t>
  </si>
  <si>
    <t>se realizará contratación de consultoría para el proceso de certificar la oficina de control interno</t>
  </si>
  <si>
    <t>CERRADA</t>
  </si>
  <si>
    <t>NO</t>
  </si>
  <si>
    <t>NA</t>
  </si>
  <si>
    <t>JOHNY GENDER NAVAS</t>
  </si>
  <si>
    <t>Se presupuestaron 90 millones para la contratación, análisis de brechas y validación de cierre de brechas</t>
  </si>
  <si>
    <t>HONORARIOS ADMINISTRATIVOS</t>
  </si>
  <si>
    <t>CERTIFICACION ESTANDAR DE CALIDAD</t>
  </si>
  <si>
    <t>Revisión de las brechas establecidas</t>
  </si>
  <si>
    <t>DIRECTA</t>
  </si>
  <si>
    <t>Gerencia de Riesgos</t>
  </si>
  <si>
    <t xml:space="preserve">Servicios de investigación privada </t>
  </si>
  <si>
    <t xml:space="preserve">Analizar los casos reportados a través de la línea ética de LA PREVISORA S.A. e investigar y dar claridad a los hechos en los que fundamentan dichos casos </t>
  </si>
  <si>
    <t>INES NIETO QUINTERO
MARÍA MARGARITA GONZÁLEZ S.</t>
  </si>
  <si>
    <t>PLAN ANTIFRAUDE</t>
  </si>
  <si>
    <t>Software funcional específico de la empresa</t>
  </si>
  <si>
    <t>Servicio para el diligenciamiento de manera virtual del formulario de conocimiento del cliente.</t>
  </si>
  <si>
    <t>SI</t>
  </si>
  <si>
    <t>No solicitadas</t>
  </si>
  <si>
    <t>CAROLINA OSORIO
MARÍA MARGARITA GONZÁLEZ S.</t>
  </si>
  <si>
    <t>SARLAFT DIGITAL</t>
  </si>
  <si>
    <t>Prestar el servicio de licenciamiento, mantenimiento y actualización del Software Midas.</t>
  </si>
  <si>
    <t>SEBASTIAN RIVERA
MARÍA MARGARITA GONZÁLEZ S.</t>
  </si>
  <si>
    <t>MANTENIMIENTO Y REPARACIONES TECNOLOGICAS</t>
  </si>
  <si>
    <t>MANTENIMIENTO Y REPARACIONES SOFTWARE</t>
  </si>
  <si>
    <t>MIDAS</t>
  </si>
  <si>
    <t>Realizar la renovación del licenciamiento de los módulos del Sistema SAS®, realizar la actualización de la herramienta SAS office Analytics a la versión Office Analytics M8 y brindar capacitación para los funcionarios que LA PREVISORA S.A. designe para tal fin, previo acuerdo con EL PROVEEDOR</t>
  </si>
  <si>
    <t>Este contrato lo gestiona tambien la Gerencia de acuaria de la Vicepresidencia Técnica por tal motivo se solicita unificar.</t>
  </si>
  <si>
    <t>SAS</t>
  </si>
  <si>
    <t>Software de consultas y gestión de datos</t>
  </si>
  <si>
    <t>Servicio de consulta de listas restrictivas</t>
  </si>
  <si>
    <t>Contrato firmado el 10 de enero 2024</t>
  </si>
  <si>
    <t>PUBLICACIONES, SUSCRIPCIONES Y BIBLIOTECA</t>
  </si>
  <si>
    <t>SUSCRIPCIÓN BASE DE DATOS PARA LISTA DE RIESGOS</t>
  </si>
  <si>
    <t>Servicio de consulta de listas de PEPs</t>
  </si>
  <si>
    <t>Servicios de alquiler o arrendamiento de licencias de software de computador</t>
  </si>
  <si>
    <t>Servicio bajo la modalidad de SAAS, que permita
la gestión de riesgos de manera automática y
consolidada de la Compañía._x000D_</t>
  </si>
  <si>
    <t>ARRENDAMIENTO_TECNOLÓGICO</t>
  </si>
  <si>
    <t>ARRENDAMIENTO SOFTWARE</t>
  </si>
  <si>
    <t>SOFTWARE RIESGO OPERATIVO</t>
  </si>
  <si>
    <t>Consulta de información financiera para ejecutar los modelos internos de cupos de emisores y contrapartes</t>
  </si>
  <si>
    <t>SILVIA ANDRADE
MARÍA MARGARITA GONZÁLEZ S.</t>
  </si>
  <si>
    <t>RESULTADO FINANCIERO</t>
  </si>
  <si>
    <t>BLOOMBERG</t>
  </si>
  <si>
    <t>Automatización de los cupos emisor y contraparte sector financiero y sector real.</t>
  </si>
  <si>
    <t>HONORARIOS ADMINISTRATIVOS - GER. RIESGOS</t>
  </si>
  <si>
    <t>Revisión de la segmentación de los factores de riesgo de SRALAFT y automatizarla.</t>
  </si>
  <si>
    <t>Política de inversiones</t>
  </si>
  <si>
    <t>Servicio de CVA y DVA.</t>
  </si>
  <si>
    <t xml:space="preserve">Este contrato se debe comenzar a gestionar en el 2024, sin embargo el nuevo contrato comenzaria en febrero de 2025. Por tal razon no se estipulan recursoso para el 2024. Los 48 millones que indica planeacion finnaciera corresponden a una adicion que se debe realizar al CDP CDP 2022001553, debido a que se comenzara a operar con opciones. </t>
  </si>
  <si>
    <t>CVA Y DVA</t>
  </si>
  <si>
    <t>servicios profesionales de abogado, analizando y proyectando las decisiones de segunda instancia de los procesos disciplinarios .</t>
  </si>
  <si>
    <t>CINDY RINCÓN / RAMÓN ANGARITA</t>
  </si>
  <si>
    <t>HONORARIOS PRESIDENCIA</t>
  </si>
  <si>
    <t>Vicepresidencia Indemnizaciones</t>
  </si>
  <si>
    <t>Gerencia De Indemnizaciones Automóviles</t>
  </si>
  <si>
    <t>Recoleccion de sobrantes, piezas y salvamentos.</t>
  </si>
  <si>
    <t>HENRY FORERO</t>
  </si>
  <si>
    <t>GASTOS DE SALVAMENTOS Y RECOBROS</t>
  </si>
  <si>
    <t>OTROS GASTOS DE SALVAMENTOS</t>
  </si>
  <si>
    <t>Ingeniería mecánica</t>
  </si>
  <si>
    <t xml:space="preserve">Se requiere contratar una persona jurídica que preste sus servicios profesionales de peritaje especializado de daños que sufran y/o causen los vehículos que conforman el parque automotor asegurado por La Previsora y que afecten las pólizas expedidas bajo el ramo de automóviles (incluye todos los amparos). </t>
  </si>
  <si>
    <t>ABIERTA</t>
  </si>
  <si>
    <t>ADRIANA ORJUELA</t>
  </si>
  <si>
    <t>Contrato de peritos</t>
  </si>
  <si>
    <t>GASTOS DE SINIESTROS</t>
  </si>
  <si>
    <t>OTROS GASTOS DE SINIESTROS</t>
  </si>
  <si>
    <t>PERITOS</t>
  </si>
  <si>
    <t>Sistemas de manejo de información MIS</t>
  </si>
  <si>
    <t>Se requiere contratar herramienta tecnologica para realizar todo el proceso de gestión de la atención integral a los siniestros derivados de las  pólizas expedidas bajo el ramo de automóviles.</t>
  </si>
  <si>
    <t>Audatex</t>
  </si>
  <si>
    <t>AUDATEX</t>
  </si>
  <si>
    <t>Bodega</t>
  </si>
  <si>
    <t>Se requiere contratar un proveedor que preste y garantice el servicio integral de bodegaje, almacenamiento y custodia de salvamentos de seguros generales (muebles, enseres, entre otros) y vehículos, asegurados por LA PREVISORA S.A. COMPAÑÍA DE SEGUROS</t>
  </si>
  <si>
    <t>Bodegas</t>
  </si>
  <si>
    <t>Tramitador</t>
  </si>
  <si>
    <t>La Compañía requiere contar con un proveedor que preste los servicios de trámites para el saneamiento de los vehículos asegurados, con el propósito de atender las reclamaciones y generar el pago de estas, esto atado al proceso de indemnizaciones autos como giro de negocio.</t>
  </si>
  <si>
    <t xml:space="preserve">Se estima el valor del contrato en $45.000.000, para efectos de garantías, no obstante, el contrato puede ser de cuantia indeterminada </t>
  </si>
  <si>
    <t xml:space="preserve">Gerencia de Indemnizaciones de Seguros Generales y Patrimoniales </t>
  </si>
  <si>
    <t>Servicio de asesoramiento para la  gestión de riesgo</t>
  </si>
  <si>
    <t xml:space="preserve">PRESTACIÓN DE SERVICIO DE AJUSTE DE RECLAMACIONES </t>
  </si>
  <si>
    <t>JOSE BERNARDO ALEMAN CABANA</t>
  </si>
  <si>
    <t>El valor de $4.455.000.000  corresponde al total de los contratos con Ajustadores para la vigencia 2024.</t>
  </si>
  <si>
    <t>No tiene rubro y concepto presupuestal, se paga con cargo al siniestro ya que hace parte del valor de la indemnización.</t>
  </si>
  <si>
    <t>Gerencia De Indemnizaciones Soat, Vida Y Ap</t>
  </si>
  <si>
    <t>Valoración del estado de salud individual</t>
  </si>
  <si>
    <t>Valoración de pérdida de capacidad laboral para las reclamaciones del amparo de incapacidad permante de los ramos de Soat y AP</t>
  </si>
  <si>
    <t>MARITZA GISELA AYURE AGULAR</t>
  </si>
  <si>
    <t>No requiere porque afecta a Gastos de Siniestros</t>
  </si>
  <si>
    <t>Vicepresidencia Financiera</t>
  </si>
  <si>
    <t>80121610</t>
  </si>
  <si>
    <t>Servicios legales de cobro de deudas o cartera</t>
  </si>
  <si>
    <t>Servicios de financiación de primas de seguros y gestión y administración de recuperación o cobro de cartera</t>
  </si>
  <si>
    <t>MARÍA ANDREA RIVEROS CAMAR</t>
  </si>
  <si>
    <t>GASTOS PREVICREDITO</t>
  </si>
  <si>
    <t>Asistencia financiera</t>
  </si>
  <si>
    <t>Calificadora de Riesgo</t>
  </si>
  <si>
    <t>CARLOS CARRILLO</t>
  </si>
  <si>
    <t>CALIFICACION DE LA FORTALEZA FINANCIERA</t>
  </si>
  <si>
    <t>Gerencia de Inversiones</t>
  </si>
  <si>
    <t>Asesores de inversiones</t>
  </si>
  <si>
    <t>Orientación, herramientas de gestión, perspectivas frente a normatividad e investigaciones sobre asuntos ASG</t>
  </si>
  <si>
    <t> </t>
  </si>
  <si>
    <t>MARIA TERESA ROMERO</t>
  </si>
  <si>
    <t>RESULTADO_FINANCIERO</t>
  </si>
  <si>
    <t>PRI</t>
  </si>
  <si>
    <t>Acuerdos de inversiones</t>
  </si>
  <si>
    <t>Asesoría  jurídica especializada para administrar la información de La Previsora S.A. Compañía de Seguros en la plataforma Markit de ISDA con el fin de vigilar, suministrar, actualizar y/o modificar periódicamente, la información necesaria en dicha plataforma.</t>
  </si>
  <si>
    <t>ASESORÍA JURIDICA CONTRATOS INVERSIONES</t>
  </si>
  <si>
    <t>Asesoría jurídica para obtener la renovación del Legal Entity Identifier (LEI) necesario para la negociación de instrumentos derivados</t>
  </si>
  <si>
    <t>EL valor del contrato tiene un componente en pesos y un componente en dolares, el iva aplica sobre los pesos</t>
  </si>
  <si>
    <t>Servicios de custodia de valores</t>
  </si>
  <si>
    <t>Servicio de Custodia Local del portafolio de inversiones</t>
  </si>
  <si>
    <t>El contrato inicia el 1 de noviembre 2024</t>
  </si>
  <si>
    <t>CUSTODIA DE TÍTULOS (ITAÚ)</t>
  </si>
  <si>
    <t>84121806</t>
  </si>
  <si>
    <t>Servicio de custodia Internacional del portafolio de inversiones</t>
  </si>
  <si>
    <t>servicio de proveeduría o suministro de información para la valoración de las inversiones de la compañía, de acuerdo con las metodologías de valoración de Precia Proveedor de Precios para valoración S.A., incluyendo las no objetadas Superintendencia Financiera de Colombia.</t>
  </si>
  <si>
    <t>El contrato inicia el 1 de fecbrero del 2025</t>
  </si>
  <si>
    <t>INFOLVAMER (PRECIA)</t>
  </si>
  <si>
    <t>Subgerencia de Impuestos</t>
  </si>
  <si>
    <t>Juntas de revisión de estándares profesionales</t>
  </si>
  <si>
    <t>Afiliar a La Previsora S.A. Compañía de Seguros a la agremiación durante el periodo Junio 2024 a Mayo de 2025 y participación a las jornadas Colombianas de Derecho Tributario</t>
  </si>
  <si>
    <t>SILVIA YELAINE JIMENEZ</t>
  </si>
  <si>
    <t>INSTITUTO COLOMBIANO DE DERECHO TRIBUTARIO ICDT</t>
  </si>
  <si>
    <t>Gerencia Contable y Tributaria</t>
  </si>
  <si>
    <t xml:space="preserve">Desarrollo de políticas u objetivos empresariales </t>
  </si>
  <si>
    <t>Prestar los servicios especializados para la consultoría, acompañamiento y capacitación a los funcionarios de LA PREVISORA S.A. en la aplicación de las Normas Internacionales de Información Financiera (NIIF).</t>
  </si>
  <si>
    <t>EVELYN ANDREA GOMEZ</t>
  </si>
  <si>
    <t>NIIF</t>
  </si>
  <si>
    <t>Temas tributarios</t>
  </si>
  <si>
    <t>Generación de certificados tributarios digitales (retención en renta, IVA e ICA).</t>
  </si>
  <si>
    <t>CERT - TAX</t>
  </si>
  <si>
    <t>Servicios de facturación</t>
  </si>
  <si>
    <t>Contratar la prestación de servicios especializados para la estabilización  y ejecución del proceso de facturación en medios y formatos electrónicos (por disposiciones normativas)</t>
  </si>
  <si>
    <t>FACTURA ELECTRÓNICA</t>
  </si>
  <si>
    <t>Vicepresidencia de Desarrollo Corporativo</t>
  </si>
  <si>
    <t xml:space="preserve">Gerencia De Innovación Y Procesos </t>
  </si>
  <si>
    <t>80101505</t>
  </si>
  <si>
    <r>
      <rPr>
        <b/>
        <sz val="11"/>
        <color rgb="FF000000"/>
        <rFont val="Aptos Narrow"/>
        <family val="2"/>
        <scheme val="minor"/>
      </rPr>
      <t>Estrategia de Innovación</t>
    </r>
    <r>
      <rPr>
        <sz val="11"/>
        <color rgb="FF000000"/>
        <rFont val="Aptos Narrow"/>
        <family val="2"/>
        <scheme val="minor"/>
      </rPr>
      <t xml:space="preserve">
</t>
    </r>
    <r>
      <rPr>
        <i/>
        <sz val="11"/>
        <color rgb="FF000000"/>
        <rFont val="Aptos Narrow"/>
        <family val="2"/>
        <scheme val="minor"/>
      </rPr>
      <t>Consultoría, diagnóstico y hoja de ruta de Innovación</t>
    </r>
  </si>
  <si>
    <t>IVÁN CORTES</t>
  </si>
  <si>
    <r>
      <t xml:space="preserve">Se ajusta de acuerdo a la contratación en curso, se modifica el nombre. El presupuesto restante se usará para implementación.
</t>
    </r>
    <r>
      <rPr>
        <b/>
        <sz val="11"/>
        <color theme="1"/>
        <rFont val="Aptos Narrow"/>
        <family val="2"/>
        <scheme val="minor"/>
      </rPr>
      <t>Se resalta en amarillo las celdas modificadas</t>
    </r>
  </si>
  <si>
    <r>
      <rPr>
        <b/>
        <sz val="11"/>
        <color rgb="FF000000"/>
        <rFont val="Aptos Narrow"/>
        <family val="2"/>
        <scheme val="minor"/>
      </rPr>
      <t>Implementación Estrategia Innovación</t>
    </r>
    <r>
      <rPr>
        <sz val="11"/>
        <color rgb="FF000000"/>
        <rFont val="Aptos Narrow"/>
        <family val="2"/>
        <scheme val="minor"/>
      </rPr>
      <t xml:space="preserve">
Realizar las actividades derivadas de la Consultoria de Estrategía de Innovación</t>
    </r>
  </si>
  <si>
    <r>
      <t xml:space="preserve">Se incluye contratación para la implementación de la Estrategia de Innovación.
</t>
    </r>
    <r>
      <rPr>
        <b/>
        <sz val="11"/>
        <color theme="1"/>
        <rFont val="Aptos Narrow"/>
        <family val="2"/>
        <scheme val="minor"/>
      </rPr>
      <t>Esta contraación, junto con la de la Estrategía suma el total del presupuesto asignado $200 millones de pesos</t>
    </r>
  </si>
  <si>
    <t>81111504</t>
  </si>
  <si>
    <t>Servicios de programación de aplicaciones</t>
  </si>
  <si>
    <r>
      <rPr>
        <b/>
        <sz val="11"/>
        <color rgb="FF000000"/>
        <rFont val="Aptos Narrow"/>
        <family val="2"/>
        <scheme val="minor"/>
      </rPr>
      <t>Herramienta Rocketbot</t>
    </r>
    <r>
      <rPr>
        <sz val="11"/>
        <color rgb="FF000000"/>
        <rFont val="Aptos Narrow"/>
        <family val="2"/>
        <scheme val="minor"/>
      </rPr>
      <t xml:space="preserve">
</t>
    </r>
    <r>
      <rPr>
        <i/>
        <sz val="11"/>
        <color rgb="FF000000"/>
        <rFont val="Aptos Narrow"/>
        <family val="2"/>
        <scheme val="minor"/>
      </rPr>
      <t>Soporte y mantenimiento a las automatizacines desarrolladas.</t>
    </r>
  </si>
  <si>
    <r>
      <t xml:space="preserve">Este registro hace referencia a los siguientes contratos, los cuales se preevee realizar cada seis meses por la particularidad de la necesidad
</t>
    </r>
    <r>
      <rPr>
        <b/>
        <sz val="11"/>
        <color rgb="FF000000"/>
        <rFont val="Aptos Narrow"/>
        <family val="2"/>
        <scheme val="minor"/>
      </rPr>
      <t xml:space="preserve">
1. CTO Enero - Junio 2024</t>
    </r>
    <r>
      <rPr>
        <sz val="11"/>
        <color rgb="FF000000"/>
        <rFont val="Aptos Narrow"/>
        <family val="2"/>
        <scheme val="minor"/>
      </rPr>
      <t xml:space="preserve"> &gt;&gt; Se cuenta con el prespuesto 2024 | Este proceso inició en noviembre de 2023
</t>
    </r>
    <r>
      <rPr>
        <b/>
        <sz val="11"/>
        <color rgb="FF000000"/>
        <rFont val="Aptos Narrow"/>
        <family val="2"/>
        <scheme val="minor"/>
      </rPr>
      <t>2. CTO Julio - Diciembre 2024</t>
    </r>
    <r>
      <rPr>
        <sz val="11"/>
        <color rgb="FF000000"/>
        <rFont val="Aptos Narrow"/>
        <family val="2"/>
        <scheme val="minor"/>
      </rPr>
      <t xml:space="preserve"> &gt;&gt; Se debe realizar traslado presupuestal para atender la contratación
</t>
    </r>
    <r>
      <rPr>
        <b/>
        <sz val="11"/>
        <color rgb="FF000000"/>
        <rFont val="Aptos Narrow"/>
        <family val="2"/>
        <scheme val="minor"/>
      </rPr>
      <t>3. CTO Enero - Junio 2025</t>
    </r>
    <r>
      <rPr>
        <sz val="11"/>
        <color rgb="FF000000"/>
        <rFont val="Aptos Narrow"/>
        <family val="2"/>
        <scheme val="minor"/>
      </rPr>
      <t xml:space="preserve"> &gt;&gt; Se contemplará en presupuesto 2025</t>
    </r>
  </si>
  <si>
    <r>
      <t xml:space="preserve">De acuerdo a lo indicado por la Gerencia de Contratación, se debía dejar en una sola línea los tres procesos de contratación.
</t>
    </r>
    <r>
      <rPr>
        <b/>
        <sz val="11"/>
        <color theme="1"/>
        <rFont val="Aptos Narrow"/>
        <family val="2"/>
        <scheme val="minor"/>
      </rPr>
      <t xml:space="preserve">Contrato 1 | Enero a Junio 2024: </t>
    </r>
    <r>
      <rPr>
        <sz val="11"/>
        <color theme="1"/>
        <rFont val="Aptos Narrow"/>
        <family val="2"/>
        <scheme val="minor"/>
      </rPr>
      <t xml:space="preserve">Esta contratación se encuentra en curso y </t>
    </r>
    <r>
      <rPr>
        <b/>
        <sz val="11"/>
        <color rgb="FF00B050"/>
        <rFont val="Aptos Narrow"/>
        <family val="2"/>
        <scheme val="minor"/>
      </rPr>
      <t>cuenta con prespuesto 2024 de $57.920.232</t>
    </r>
    <r>
      <rPr>
        <sz val="11"/>
        <color theme="1"/>
        <rFont val="Aptos Narrow"/>
        <family val="2"/>
        <scheme val="minor"/>
      </rPr>
      <t xml:space="preserve">
</t>
    </r>
    <r>
      <rPr>
        <b/>
        <sz val="11"/>
        <color theme="1"/>
        <rFont val="Aptos Narrow"/>
        <family val="2"/>
        <scheme val="minor"/>
      </rPr>
      <t xml:space="preserve">
Contrato 2 | Julio - Diciembre 2024:</t>
    </r>
    <r>
      <rPr>
        <sz val="11"/>
        <color theme="1"/>
        <rFont val="Aptos Narrow"/>
        <family val="2"/>
        <scheme val="minor"/>
      </rPr>
      <t xml:space="preserve"> </t>
    </r>
    <r>
      <rPr>
        <sz val="11"/>
        <color rgb="FFFF0000"/>
        <rFont val="Aptos Narrow"/>
        <family val="2"/>
        <scheme val="minor"/>
      </rPr>
      <t>No se cuenta con presupuesto</t>
    </r>
    <r>
      <rPr>
        <sz val="11"/>
        <color theme="1"/>
        <rFont val="Aptos Narrow"/>
        <family val="2"/>
        <scheme val="minor"/>
      </rPr>
      <t xml:space="preserve">. Se debe gestionar traslado, como se indica en la columna V "Observaciones"
</t>
    </r>
    <r>
      <rPr>
        <b/>
        <sz val="11"/>
        <color theme="1"/>
        <rFont val="Aptos Narrow"/>
        <family val="2"/>
        <scheme val="minor"/>
      </rPr>
      <t>Contrato 3 | Enero - Junio 2025:</t>
    </r>
    <r>
      <rPr>
        <sz val="11"/>
        <color theme="1"/>
        <rFont val="Aptos Narrow"/>
        <family val="2"/>
        <scheme val="minor"/>
      </rPr>
      <t xml:space="preserve"> Se contemplará en presupuesto 2025,  como se indica en la columna V "Observaciones"</t>
    </r>
  </si>
  <si>
    <r>
      <rPr>
        <b/>
        <sz val="11"/>
        <color rgb="FF000000"/>
        <rFont val="Aptos Narrow"/>
        <family val="2"/>
        <scheme val="minor"/>
      </rPr>
      <t>Retos de Innovación</t>
    </r>
    <r>
      <rPr>
        <sz val="11"/>
        <color rgb="FF000000"/>
        <rFont val="Aptos Narrow"/>
        <family val="2"/>
        <scheme val="minor"/>
      </rPr>
      <t xml:space="preserve">
Ejercicio de innovación abierta. Consultoria. Mediante diferentes técnicas lanza un reto que se establece desde previsora, y la empresa convoca a diferentes participantes para que con su asesoría planteen una solución innovadora</t>
    </r>
  </si>
  <si>
    <t>ESTEBAN TENORIO</t>
  </si>
  <si>
    <r>
      <t xml:space="preserve">La contratación se encuentra ajustada al valor de presupuesto aprobado en </t>
    </r>
    <r>
      <rPr>
        <b/>
        <sz val="11"/>
        <color rgb="FF00B050"/>
        <rFont val="Aptos Narrow"/>
        <family val="2"/>
        <scheme val="minor"/>
      </rPr>
      <t>2024:</t>
    </r>
    <r>
      <rPr>
        <sz val="11"/>
        <color rgb="FF00B050"/>
        <rFont val="Aptos Narrow"/>
        <family val="2"/>
        <scheme val="minor"/>
      </rPr>
      <t xml:space="preserve"> </t>
    </r>
    <r>
      <rPr>
        <b/>
        <sz val="11"/>
        <color rgb="FF00B050"/>
        <rFont val="Aptos Narrow"/>
        <family val="2"/>
        <scheme val="minor"/>
      </rPr>
      <t>$53.857-143 + IVA. OK</t>
    </r>
    <r>
      <rPr>
        <sz val="11"/>
        <color theme="1"/>
        <rFont val="Aptos Narrow"/>
        <family val="2"/>
        <scheme val="minor"/>
      </rPr>
      <t xml:space="preserve">
</t>
    </r>
    <r>
      <rPr>
        <sz val="11"/>
        <color rgb="FFFF0000"/>
        <rFont val="Aptos Narrow"/>
        <family val="2"/>
        <scheme val="minor"/>
      </rPr>
      <t>No se cuenta con $87 millones</t>
    </r>
  </si>
  <si>
    <r>
      <rPr>
        <b/>
        <sz val="11"/>
        <color rgb="FF000000"/>
        <rFont val="Aptos Narrow"/>
        <family val="2"/>
        <scheme val="minor"/>
      </rPr>
      <t>Herramienta Agility</t>
    </r>
    <r>
      <rPr>
        <sz val="11"/>
        <color rgb="FF000000"/>
        <rFont val="Aptos Narrow"/>
        <family val="2"/>
        <scheme val="minor"/>
      </rPr>
      <t xml:space="preserve">
</t>
    </r>
    <r>
      <rPr>
        <i/>
        <sz val="11"/>
        <color rgb="FF000000"/>
        <rFont val="Aptos Narrow"/>
        <family val="2"/>
        <scheme val="minor"/>
      </rPr>
      <t>Derecho a uso de la herramienta Agility y los asistentes robóticos desarrollados, así como también el servicio especializado para el soporte y mantenimiento de los asistentes de procesos implementados en la entidad basados en tecnología RPA y bolsa de horas para atender los ajustes requeridos a dichos asistentes.</t>
    </r>
  </si>
  <si>
    <t>JOSE FERNANDO PULIDO</t>
  </si>
  <si>
    <r>
      <t xml:space="preserve">Se ajusta el valor del presupuesto de la contratación columna W5, </t>
    </r>
    <r>
      <rPr>
        <b/>
        <sz val="11"/>
        <color theme="1"/>
        <rFont val="Aptos Narrow"/>
        <family val="2"/>
        <scheme val="minor"/>
      </rPr>
      <t xml:space="preserve">celda resaltada en amarillo, </t>
    </r>
    <r>
      <rPr>
        <sz val="11"/>
        <color theme="1"/>
        <rFont val="Aptos Narrow"/>
        <family val="2"/>
        <scheme val="minor"/>
      </rPr>
      <t xml:space="preserve">de acuerdo al presupuesto aprobado  para la vigencia 2024:
Arrendamiento $ 10.577.258
Mantenimiento $ 13.822.420
</t>
    </r>
    <r>
      <rPr>
        <b/>
        <sz val="11"/>
        <color rgb="FF00B050"/>
        <rFont val="Aptos Narrow"/>
        <family val="2"/>
        <scheme val="minor"/>
      </rPr>
      <t>Total presupuesto disponible 2024 $24.399.678</t>
    </r>
    <r>
      <rPr>
        <sz val="11"/>
        <color theme="1"/>
        <rFont val="Aptos Narrow"/>
        <family val="2"/>
        <scheme val="minor"/>
      </rPr>
      <t xml:space="preserve">
</t>
    </r>
    <r>
      <rPr>
        <b/>
        <sz val="11"/>
        <color theme="1"/>
        <rFont val="Aptos Narrow"/>
        <family val="2"/>
        <scheme val="minor"/>
      </rPr>
      <t>Se resalta en amarillo las celdas modificadas</t>
    </r>
  </si>
  <si>
    <t>ARRENDAMIENTO TECNOLÓGICO
MANTENIMIENTO Y REPARACIONES TECNOLOGICAS</t>
  </si>
  <si>
    <t xml:space="preserve">ARRENDAMIENTO SOFTWARE
MANTENIMIENTO Y REPARACIONES SOFTWARE
</t>
  </si>
  <si>
    <t xml:space="preserve">Subgerencia De Mejoramiento De Procesos </t>
  </si>
  <si>
    <t>81112218</t>
  </si>
  <si>
    <t>Aplicaciones para el mantenimiento de software.</t>
  </si>
  <si>
    <r>
      <rPr>
        <b/>
        <sz val="11"/>
        <color theme="1"/>
        <rFont val="Aptos Narrow"/>
        <family val="2"/>
        <scheme val="minor"/>
      </rPr>
      <t>Isolución</t>
    </r>
    <r>
      <rPr>
        <sz val="11"/>
        <color theme="1"/>
        <rFont val="Aptos Narrow"/>
        <family val="2"/>
        <scheme val="minor"/>
      </rPr>
      <t xml:space="preserve">
</t>
    </r>
    <r>
      <rPr>
        <i/>
        <sz val="11"/>
        <color theme="1"/>
        <rFont val="Aptos Narrow"/>
        <family val="2"/>
        <scheme val="minor"/>
      </rPr>
      <t>Soporte y Mantenimiento anual de la herramienta de Gestión Documental Isolución</t>
    </r>
  </si>
  <si>
    <t>JOHN JAVIER MEJIA</t>
  </si>
  <si>
    <t>OK</t>
  </si>
  <si>
    <t>84111600</t>
  </si>
  <si>
    <t>Servicios de auditoría</t>
  </si>
  <si>
    <r>
      <rPr>
        <b/>
        <sz val="11"/>
        <color theme="1"/>
        <rFont val="Aptos Narrow"/>
        <family val="2"/>
        <scheme val="minor"/>
      </rPr>
      <t xml:space="preserve">Auditoria Icontec | 
</t>
    </r>
    <r>
      <rPr>
        <i/>
        <sz val="11"/>
        <color theme="1"/>
        <rFont val="Aptos Narrow"/>
        <family val="2"/>
        <scheme val="minor"/>
      </rPr>
      <t>Seguimiento en ISO 9001:2015 y 14001:2015</t>
    </r>
    <r>
      <rPr>
        <sz val="11"/>
        <color theme="1"/>
        <rFont val="Aptos Narrow"/>
        <family val="2"/>
        <scheme val="minor"/>
      </rPr>
      <t xml:space="preserve">
</t>
    </r>
    <r>
      <rPr>
        <b/>
        <sz val="11"/>
        <color theme="1"/>
        <rFont val="Aptos Narrow"/>
        <family val="2"/>
        <scheme val="minor"/>
      </rPr>
      <t>Auditoria Icontec |</t>
    </r>
    <r>
      <rPr>
        <sz val="11"/>
        <color theme="1"/>
        <rFont val="Aptos Narrow"/>
        <family val="2"/>
        <scheme val="minor"/>
      </rPr>
      <t xml:space="preserve"> 
</t>
    </r>
    <r>
      <rPr>
        <i/>
        <sz val="11"/>
        <color theme="1"/>
        <rFont val="Aptos Narrow"/>
        <family val="2"/>
        <scheme val="minor"/>
      </rPr>
      <t>Sello Buenas Prácticas de Innovación</t>
    </r>
  </si>
  <si>
    <t>JASON REYES/TATIANA FERRO</t>
  </si>
  <si>
    <t>Consultoria Mejoramiento de Procesos</t>
  </si>
  <si>
    <t>NATALIA GOMEZ</t>
  </si>
  <si>
    <t>Gerencia de Planeación</t>
  </si>
  <si>
    <t>CONSULTORIA DE GOBIERNO CORPORATIVO - MEDICIÓN REPUTACIÓN</t>
  </si>
  <si>
    <t>MARIA LUCIA LLERAS</t>
  </si>
  <si>
    <t>80101500</t>
  </si>
  <si>
    <t>CONSULTORIA ERP FINANCIERO</t>
  </si>
  <si>
    <t>Se ajusto el presupuesto de acuerdo con las observaciones de la Gerencia de Planeación Financiera</t>
  </si>
  <si>
    <t>43231600</t>
  </si>
  <si>
    <t>Software de planificación de recursos empresariales (ERP) y contabilidad financiera</t>
  </si>
  <si>
    <t>IMPLEMENTACIÓN ERP FINANCIERO</t>
  </si>
  <si>
    <t>INV. ADQUISICIÓN ACTIVOS SOFTWARE</t>
  </si>
  <si>
    <t>Subgerencia de Transformación Digital</t>
  </si>
  <si>
    <t>81112002</t>
  </si>
  <si>
    <t xml:space="preserve">Servicios de procesamiento o preparación de datos </t>
  </si>
  <si>
    <t>UNIDAD ANALÍTICA DE DATOS (MODELO DE TRATAMIENTO DE FRAUDE)</t>
  </si>
  <si>
    <t>YULY ALEJANDRA RUIZ</t>
  </si>
  <si>
    <t>UNIDAD ANALÍTICA DE DATOS (MODELO SEGMENTACIÓN DE CLIENTES)</t>
  </si>
  <si>
    <t>Validar con Malú</t>
  </si>
  <si>
    <t>81141902</t>
  </si>
  <si>
    <t>Servicio de investigación y desarrollo de aplicaciones o tecnología</t>
  </si>
  <si>
    <t>SUCURSAL VIRTUAL FASE II (PROCESO E IMPLEMENTACION PAGOS VIRTUALES)</t>
  </si>
  <si>
    <t>ARRENDAMIENTO TECNOLÓGICO
HONORARIOS ADMINISTRATIVOS</t>
  </si>
  <si>
    <t>ARRENDAMIENTO SOFTWARE
HONORARIOS ADMINISTRATIVOS</t>
  </si>
  <si>
    <t>MODELO DE ALIANZAS (FASE II) DESARROLLO  DE PORTAL O PLATAFORMA PARA OPERATIVIZAR LAS ALIANZAS COMERCIALES</t>
  </si>
  <si>
    <t>HONORARIOS ADMINISTRATIVOS
MANTENIMIENTO Y REPARACIONES TECNOLOGICAS</t>
  </si>
  <si>
    <t>HONORARIOS ADMINISTRATIVOS
MANTENIMIENTO Y REPARACIONES SOFTWARE</t>
  </si>
  <si>
    <t>CHATBOT - CERTIFICACIÓN WHATSAPP</t>
  </si>
  <si>
    <t>94101503</t>
  </si>
  <si>
    <t>Asociaciones empresariales sectoriales</t>
  </si>
  <si>
    <t>RENOVACION MEMBRESIA A COLOMBIA FINTECH</t>
  </si>
  <si>
    <t>CONTRIBUCIONES Y AFILIACIONES</t>
  </si>
  <si>
    <t>ASESORIAS EN ACTUALIZACION E IMPLEMENTACION DE ESTRATEGIAS</t>
  </si>
  <si>
    <t>93141702</t>
  </si>
  <si>
    <t>Servicios de promoción cultural</t>
  </si>
  <si>
    <t>DESARROLLO DE ACTIVIDADES PARA PROGRAMA DE CULTURA DIGITAL</t>
  </si>
  <si>
    <t>INCLUSION DE LA CAPA DE  INTELIGENCIA ARTIFICIAL EN LOS ACTIVOS DIGITALES CORPORATIVOS</t>
  </si>
  <si>
    <t>HONORARIOS ADMINISTRATIVOS - GER. PLANEACIÓN</t>
  </si>
  <si>
    <t>81112501</t>
  </si>
  <si>
    <t>Servicio de licencias del software del computador</t>
  </si>
  <si>
    <t>RENOVACION HERRAMIENTA QUICSCORE</t>
  </si>
  <si>
    <t>PORTAL INTERMEDIARIOS PAGINA WEB</t>
  </si>
  <si>
    <t>81112001</t>
  </si>
  <si>
    <t>Servicio de procesamiento de datos en línea</t>
  </si>
  <si>
    <t>PROYECTO CENTRALIZACIÓN DE DATOS</t>
  </si>
  <si>
    <t xml:space="preserve">Se adiciona necesidad de contratación, debido a que  publicado con la invitación abierta 012-2023 y el proceso fue fallido. Así mismo, para el año 2024 se cuenta con presupuesto aprobado para está contratación. </t>
  </si>
  <si>
    <t>Mantenimiento sistema de información</t>
  </si>
  <si>
    <t>43232107</t>
  </si>
  <si>
    <t>Software de creación y edición de páginas web</t>
  </si>
  <si>
    <t>MANTENIMIENTO DE LA INTRANET  Y PORTAL WEB DE LA COMPAÑIA</t>
  </si>
  <si>
    <t>DELFIN ALEXANDER RODRÍGUEZ
JUAN CARLOS PEDRAZA</t>
  </si>
  <si>
    <r>
      <rPr>
        <b/>
        <sz val="11"/>
        <color rgb="FF000000"/>
        <rFont val="Aptos Narrow"/>
        <family val="2"/>
        <scheme val="minor"/>
      </rPr>
      <t>Contrato actual No. 116-2023</t>
    </r>
    <r>
      <rPr>
        <sz val="11"/>
        <color rgb="FF000000"/>
        <rFont val="Aptos Narrow"/>
        <family val="2"/>
        <scheme val="minor"/>
      </rPr>
      <t xml:space="preserve">: termina el 16-Ago-2024
</t>
    </r>
  </si>
  <si>
    <t>81111508</t>
  </si>
  <si>
    <t>Servicios de implementación de aplicaciones</t>
  </si>
  <si>
    <t>SERVICIO VALIDADOR PÓLIZAS</t>
  </si>
  <si>
    <t>DELFIN ALEXANDER RODRÍGUEZ
DIANA MARCELA MARULANDA</t>
  </si>
  <si>
    <t>El contrato actual vence el 31-dic-2024, pero es necesario adelantar con antelación el proceso en la vigencia 2024, para dar continuidad al servicio. Sobre el valor del actual contrato que es $20.417760 se realizó un estimado de crecimiento, que se debe validar a futuro.</t>
  </si>
  <si>
    <t>PLATAFORMA DEVOPS</t>
  </si>
  <si>
    <t>ARRENDAMIENTO TECNOLÓGICO</t>
  </si>
  <si>
    <t>Arquitectura Empresarial</t>
  </si>
  <si>
    <t>INTEROPERABILIDAD - HA</t>
  </si>
  <si>
    <t>Abierta</t>
  </si>
  <si>
    <t>Solicitadas</t>
  </si>
  <si>
    <t>CARLOS ALBERTO ARIAS</t>
  </si>
  <si>
    <t>Este proceso se inició mediante invitación abierta No. 013-2023, la cual fue desistida y con base en las decisiones organizacionales, las fechas y montos pueden variar.</t>
  </si>
  <si>
    <t>El proceso que se venía adelantando en la vigencia 2023 fue desistido, se requiere los lineamientos de la Alta Dirección para iniciar el nuevo proceso, lo que conllevaría a anular el CDP existente y solicitar un nuevo CDP</t>
  </si>
  <si>
    <t>HONORARIOS ADMINISTRATIVOS, HONORARIOS E INVERSION</t>
  </si>
  <si>
    <t>ARRENDAMIENTO HARDWARE, SOFTWARE, HONORARIOS ADMINISTRATIVOS E INVERSION</t>
  </si>
  <si>
    <t>Subgerencia Infraestructura y Servicios de TI</t>
  </si>
  <si>
    <t>Servicios de telecomunicaciones</t>
  </si>
  <si>
    <t>CANALES DE COMUNICACIÓN</t>
  </si>
  <si>
    <t>VÍCTOR M. ROBAYO
MANUEL A. CÁRDENAS</t>
  </si>
  <si>
    <t>El actual contrato 030-2021 vence el 3-Ago-2024</t>
  </si>
  <si>
    <t>CANALES DE COMUNICACION</t>
  </si>
  <si>
    <t>Software de seguridad de transacciones y de protección contra virus</t>
  </si>
  <si>
    <t>ANTIVIRUS EDR</t>
  </si>
  <si>
    <t>VÍCTOR M. ROBAYO 
LORENA PEDROZA</t>
  </si>
  <si>
    <t>Contrato actual 045-2020: Vence el 27-Sep-2024</t>
  </si>
  <si>
    <t>ARRENDAMIENTO - EQUIPOS DE CÓMPUTO</t>
  </si>
  <si>
    <t xml:space="preserve">VÍCTOR M. ROBAYO 
SERGIO SUÁREZ </t>
  </si>
  <si>
    <t>El contrato actual 030-2020 vence el 31-Nov-2025, pero se requiere iniciar el proceso con la debida antelación en la vigencia 2025. En el formato actual no se puede incluir la vigencia del 2028 por valor de $5.454.166.167</t>
  </si>
  <si>
    <t>ok</t>
  </si>
  <si>
    <t>Mantenimiento y soporte de hardware de computador</t>
  </si>
  <si>
    <t>BIOMÉTRICOS PARA TRANSMISIÓN A ENTES DE CONTROL</t>
  </si>
  <si>
    <t>Soporte biometricos, sujeto a confirmación con el área que requiere los dispositivos.</t>
  </si>
  <si>
    <t>MANTENIMIENTO Y REPARACIONES HARDWARE</t>
  </si>
  <si>
    <t>CERTIMAIL</t>
  </si>
  <si>
    <t>VÍCTOR M. ROBAYO 
ANGELA A. PERILLA
LORENA PEDROZA 
NELSON A. CAMACHO</t>
  </si>
  <si>
    <t>Se debe pasar el contrato 155-2023 a Recursos fiscos. Contrato termina en Abril de 2024.</t>
  </si>
  <si>
    <t>Mantenimiento de software de protección y seguridad</t>
  </si>
  <si>
    <t>SUSCRIPCIÓN OFFICE 365</t>
  </si>
  <si>
    <t>el contrato No.115-2022 termina el 31-Nov-2024. Este contrato presenta una particularidad en cálculo del IVA, porque no todos los elementos son sujetos a este impuesto.</t>
  </si>
  <si>
    <t>El servicio de suscripción de office 365, el IVA solo aplica para el servicio, lo demás es licenciamiento que no aplica IVA.</t>
  </si>
  <si>
    <t>Mantenimiento de software de sistemas de gestión de bases de datos</t>
  </si>
  <si>
    <t>LICENCIAS ORACLE - AS</t>
  </si>
  <si>
    <t>VÍCTOR M. ROBAYO
JIMMY ALONSO ALBORNOZ</t>
  </si>
  <si>
    <t>El contrato 147-2022,vence en feb-2025. Se debe iniciar el proceso en 2024</t>
  </si>
  <si>
    <t>Software de mesa de ayuda o centro de llamadas (call center)</t>
  </si>
  <si>
    <t>MESA DE AYUDA DE SERVICIOS</t>
  </si>
  <si>
    <t>VÍCTOR M. ROBAYO
ANGEL ANDRÉS NEIRA</t>
  </si>
  <si>
    <t>El contrato 145-2023, vence el 30-Sep-2024. Es necesario que el nuevo contrato se inicie con dos meses de antelación es decir 1-Ago-2024 para empalme o transición y servicios efectivamente prestados a partir del 1-oct-2024</t>
  </si>
  <si>
    <t>MESA DE AYUDA</t>
  </si>
  <si>
    <t>Mantenimiento de impresoras</t>
  </si>
  <si>
    <t>OUTSORCING DE IMPRESION</t>
  </si>
  <si>
    <t>El contrato actual  018-2019  vence el 31-oct-2024</t>
  </si>
  <si>
    <t>Acorde con el archivo del presupuesto aprobado 2024, se cuenta con un presupuesto definitivo de $350.406.068 (antes de IVA), de los cuales se cuenta apropiados $191.384.609 (antes de IVA), quedando un disponible de ($159.021.459 Antes de IVa) que sería el valor a ajustar</t>
  </si>
  <si>
    <t>OUTSOURCING IMPRESION</t>
  </si>
  <si>
    <t>PRODUCTOS ADOBE - AS</t>
  </si>
  <si>
    <t>contrato 010-2023, vence el 18-Ene-2025</t>
  </si>
  <si>
    <t>PRODUCTOS ADOBE - MS</t>
  </si>
  <si>
    <t>Contrato actual vence el 5 Diciembre-2024</t>
  </si>
  <si>
    <r>
      <t xml:space="preserve">SEGURIDAD DE LA INFORMACION - G. TECNOLOGIA </t>
    </r>
    <r>
      <rPr>
        <b/>
        <sz val="11"/>
        <color rgb="FF000000"/>
        <rFont val="Aptos Narrow"/>
        <family val="2"/>
        <scheme val="minor"/>
      </rPr>
      <t>SOAR</t>
    </r>
  </si>
  <si>
    <t>SEGURIDAD INFORMATICA Y ADMINISTRACION DE INFRAESTRUCTURA TECNOLOGICA</t>
  </si>
  <si>
    <t>SEGURIDAD INFORMATICA</t>
  </si>
  <si>
    <t>Servicios de hospedaje de operación de sitios web</t>
  </si>
  <si>
    <t xml:space="preserve">SERVICIO NUBE PÚBLICA </t>
  </si>
  <si>
    <t>VÍCTOR M. ROBAYO 
ANGELA PERILLA</t>
  </si>
  <si>
    <t>SISTEMA DE GESTIÓN DE IDENTIDADES</t>
  </si>
  <si>
    <t>SOFTWARE MESA DE AYUDA</t>
  </si>
  <si>
    <t>Contrato actual venceen en septiembre de 2024</t>
  </si>
  <si>
    <t>SYBASE</t>
  </si>
  <si>
    <t>El contrato esta para inicio 1 de enero del 2025 (proveedor actual Inetum) Finaliza el contrato el 31 de dic del 2024, el presupuesto estará en 2025 de acuerdo al estudio de mercado</t>
  </si>
  <si>
    <t>Software funcional para la empresa</t>
  </si>
  <si>
    <t>HERRAMIENTA DE ARQUITECTURA EMPRESARIAL</t>
  </si>
  <si>
    <t>El valor de la renovación y soporte debe ser cancelado en dólares</t>
  </si>
  <si>
    <t>Este Proceso no estaba incluído en el PAA</t>
  </si>
  <si>
    <t>SEGURIDAD DE LA INFORMACION - G. TECNOLOGIA-SOC</t>
  </si>
  <si>
    <t>$            626,136,112</t>
  </si>
  <si>
    <t>CTO 036 - 2021 - INICIO PROCESO FEBRERO - VENCE 2 SEPT/2024</t>
  </si>
  <si>
    <t>Vicepresidencia Jurídica</t>
  </si>
  <si>
    <t>Gerencia Jurídica</t>
  </si>
  <si>
    <t>Servicios de asistencia legal</t>
  </si>
  <si>
    <t>Prestación de servicios profesionales de asesoría jurídica en contratación estatal y privada, con el fin de brindar asistencia y ejercer la representación de la Compañía en los procesos licitatorios y/o concursos de selección regidos por el Estatuto General de la Contratación Pública y por normas especiales y de derecho privado, en los cuales LA PREVISORA S.A. participe como oferente, proponente y/o tenga algún interés sin consideración a la cuantía y en el territorio nacional y que le sean asignados a demanda por La Previsora Compañía de Seguros; así como asesoría jurídica integral en materia de contratación requerida a demanda por La Previsora a traves de la Gerencia de Contratación.</t>
  </si>
  <si>
    <t>JULIANA BARRERA</t>
  </si>
  <si>
    <t>La contratación se asume con el presupuesto del rubro de Licitaciones + el presupuesto de la Gerencia de Contratación (Prestación de Servicios de la Gerencia)</t>
  </si>
  <si>
    <t>LICITACIONES</t>
  </si>
  <si>
    <t>HONORARIOS ASESORIAS JURIDICAS</t>
  </si>
  <si>
    <t>Derecho de patentes, marcas o derechos de autor</t>
  </si>
  <si>
    <t xml:space="preserve">Prestación de servicios profesionales para la asesoría jurídica de propiedad intelectual (propiedad industrial, derechos de autor) y realizar las gestiones y trámites necesarios ante la Superintendencia de Industria y Comercio para obtener los registros y/o renovaciones de la propiedad industrial de La Previsora, así como la protección de Derecho de Autor de La Compañía ante la Dirección Nacional de Derechos de Autor. </t>
  </si>
  <si>
    <t>Hace parte de Honorarios Administrativos /Concuerda con el presupuesto asignado</t>
  </si>
  <si>
    <t>PRESTACIÓN DE SERVICIOS - GER. JURIDICA</t>
  </si>
  <si>
    <t>Hace parte de Gastos de Mercadeo y no tienen IVA)/Concuerda con el presupuesto asignado</t>
  </si>
  <si>
    <t>GASTOS DE MERCADEO</t>
  </si>
  <si>
    <t>Servicios de derecho comercial</t>
  </si>
  <si>
    <t>Asesoría y soporte en materia de Protección de Datos Personales a la compañía, incluido al Comité de protección de datos personales el cual cumple las funciones asignadas como Oficial de Protección de Datos Personales de La Previsora S.A Compañía de Seguros.</t>
  </si>
  <si>
    <t>Concuerda con el presupuesto asignado</t>
  </si>
  <si>
    <t>OFICIAL DE PROTECCIÓN DE DATOS</t>
  </si>
  <si>
    <t>Servicios de educación y capacitación en administración</t>
  </si>
  <si>
    <t>AMANDA LOPEZ</t>
  </si>
  <si>
    <t>CAPACITACION CLIENTES EXTERNOS Y CONCURSOS INTERMEDIARIOS Y PARTICIP DE AGENCIAS</t>
  </si>
  <si>
    <t>CAPACITACION CLIENTES EXTERNOS</t>
  </si>
  <si>
    <t>OTRAS CAPACITACIONES A CLIENTES EXTERNOS E INTERMEDIARIOS</t>
  </si>
  <si>
    <t>Atención de asesorias y conceptos jurídicos especializados a demanda</t>
  </si>
  <si>
    <t>Gerencia de Litigios</t>
  </si>
  <si>
    <t>80121609</t>
  </si>
  <si>
    <t>Servicios de investigación legal</t>
  </si>
  <si>
    <t xml:space="preserve">Investigación Estudio de bienes </t>
  </si>
  <si>
    <t>RODRIGO FRANCO</t>
  </si>
  <si>
    <t>INVESTIGACION DE BIENES, ESTUDIOS DACTILOSCOPICO Y GRAFOLOGICOS</t>
  </si>
  <si>
    <t>94131603</t>
  </si>
  <si>
    <t>Representación y defensa judicial en los litigios PENALES y atención de audiencias de conciliación prejudicial y judicial a a nivel nacional</t>
  </si>
  <si>
    <t>Litigios penales + audiencias de conciliación</t>
  </si>
  <si>
    <t>Representación y defensa judicial en los litigios PENALES</t>
  </si>
  <si>
    <t>Litigios penales</t>
  </si>
  <si>
    <t>Representación y defensa en: I) Atención de audiencias de conciliación prejudicial y judicial a nivel nacional, II) atención litigios en que cursen en Altas Cortes  y III) Atención de tutelas</t>
  </si>
  <si>
    <t>Audiencias de conciliación+ tutelas + litigios en altas cortes</t>
  </si>
  <si>
    <t>Representación y defensa judicial en PRF, Judiciales, Administrativos y acciones constitucionales de TUTELA</t>
  </si>
  <si>
    <t>Litigios + Tutelas</t>
  </si>
  <si>
    <t>Representación y defensa judicial en los litigios de la compañía a nivel nacional (59 contratos)</t>
  </si>
  <si>
    <t>Representación y defensa judicial en los litigios de la compañía A DEMANDA</t>
  </si>
  <si>
    <t>Los honorarios para el pago de apoderados externos van con cargo a siniestros, por tal motivo no se encuentra en el presupuesto de la Gerencia de Litigios</t>
  </si>
  <si>
    <t>Vicepresidencia Técnica</t>
  </si>
  <si>
    <t>Prestar los servicios, en las sucursales que LA PREVISORA disponga de inspección de los bienes asegurables y/o asegurados y/o a prestar servicios de administración de riesgos y control de pérdidas, de riesgos en curso y/o por suscribir asignados por LA PREVISORA S.A. que permita establecer si el riesgo es asegurable y de serlo realizar las actividades necesarias para lograr un mejoramiento de los riesgos identificados, disminuyendo la probabilidad y severidad de pérdidas para los asegurados y la compañía.</t>
  </si>
  <si>
    <t>ALONSO BLANCO MEDINA</t>
  </si>
  <si>
    <t>Contratación LOSSGROUP CRITERIA</t>
  </si>
  <si>
    <t>PREVENCION SINIESTROS
GASTOS DE EMISION DE POLIZAS</t>
  </si>
  <si>
    <t>PREVENCIÓN DE SINIESTROS
INSPECCIONES DE RIESGOS PARA SUSCRIPCION</t>
  </si>
  <si>
    <t>servicio de Administración de Riesgos de Responsabilidad Civil Profesional de Clínicas y Hospitales para las instituciones Hospitalarias asignados por la Oficina de Responsabilidad Civil y la Oficina de Prevención de Riesgos, cumpliendo con lo indicado en el manual de políticas, normas y procedimientos de suscripción del ramo de Responsabilidad Civil y el manual para análisis de riesgos.</t>
  </si>
  <si>
    <t>Contratación GENERAL CLAIMS</t>
  </si>
  <si>
    <t>servicios de administración de riesgos, control de pérdidas y procedimientos especializados para los diferentes riesgos amparados en negocios nuevos o vigentes del ramo de automóviles.</t>
  </si>
  <si>
    <t>Contratación CESVI COLOMBIA S.A.</t>
  </si>
  <si>
    <t xml:space="preserve">servicio de análisis dieléctrico, fisicoquímico, cromatográfico de gases, furanos y PCB´s a los transformadores eléctricos y monitoreo en línea para determinar parámetros de calidad de energía de asegurados asignados por LA PREVISORA S.A	</t>
  </si>
  <si>
    <t>Contratación TRANSEQUIPOS</t>
  </si>
  <si>
    <t>servicio de Administración de Riesgos para el ramo de Transportes de los clientes asignados por la Oficina de Transportes y la Oficina de Prevención de Riesgos.</t>
  </si>
  <si>
    <t>Contratación GRUPO OET</t>
  </si>
  <si>
    <t>servicios, en las sucursales que LA PREVISORA disponga de inspección de los bienes asegurables y/o asegurados y/o a prestar servicios de administración de riesgos y control de pérdidas, de riesgos en curso y/o por suscribir asignados por LA PREVISORA S.A. que permita establecer si el riesgo es asegurable y de serlo realizar las actividades necesarias para lograr un mejoramiento de los riesgos identificados, disminuyendo la probabilidad y severidad de pérdidas para los asegurados y la compañía.</t>
  </si>
  <si>
    <t>Contratación L&amp;M INGENIEROS CONSULTORES
Sucursales que componen el contrato.
OPR 25 Mill
Estatal 60 Mill
Medellín 40 Mill
Cartagena 40 Mill
Pereira 30 Mill</t>
  </si>
  <si>
    <t>Contratación LOSS CONTROL. 
Sucursales que componen el contrato.
OPR 100 Mill
CEC 50 Mill
CSM 40 Mill
MEDELLÍN 30 Mill</t>
  </si>
  <si>
    <t>Contratación NÉSTOR MORA. 
Sucursales que componen el contrato
OPR 100 Mill
CEC 50 Mill
CSM 40 Mill
CALI 50 Mill
Virtual Barranquilla 24 Mill</t>
  </si>
  <si>
    <t>Contratación HIC RISK
Sucursales que componen el contrato
OPR 60 Mill
CSM 40 Mill
Medellín 40 Mill
Cartagena 40 Mill
Bucaramanga 40 Mill
Manizales 35 Mill
Armenia 30 Mill
Pereira 30 Mill
Ibagué 25 Mill</t>
  </si>
  <si>
    <t xml:space="preserve">Contratación JOSÉ Á CÁCERES
Sucursales que componen el contrato
OPR 28 Mill
Estatal 60 Mill
Cali 50 Mill
Tunja 30 Mill
Cúcuta 23 Mill
Villavicencio 35 Mill
</t>
  </si>
  <si>
    <t>Servicios de vigilancia de la carga</t>
  </si>
  <si>
    <t>servicio de inspección portuario de mercancías en importación y exportación a nivel nacional, direccionado a generadores de carga, agentes de carga, transportadores de carga, operadores logísticos y operadores de transporte multimodal (OTM).</t>
  </si>
  <si>
    <t>JORGE BELTRAN RENDON</t>
  </si>
  <si>
    <t>NINGUNA</t>
  </si>
  <si>
    <t>VIGILANCIA MERCANCIA PUERTOS</t>
  </si>
  <si>
    <t>VIGILANCIA MERCANCIA EN PUERTOS</t>
  </si>
  <si>
    <t>Especialistas en interconexión de tecnologías de la información temporales</t>
  </si>
  <si>
    <t>suministrar el derecho de uso de la plataforma tecnológica SILOGTRAN que permita la captura de todos y cada uno de los despachos que realicen los clientes asegurados en Previsora en los diferentes productos del ramo de transportes, a fin de emitir certificados específicos, certificados de excesos y emisión de pólizas de seguro, así como también permitir el cálculo de las primas causadas en un lapso de tiempo determinado por la aseguradora y en todos los productos que componen el portafolio del ramo de transportes.</t>
  </si>
  <si>
    <t>GASTOS DE EMISION DE POLIZAS</t>
  </si>
  <si>
    <t>PLATAFORMA TECNOLÓGICA PRODUCTOS DE TRANSPORTES</t>
  </si>
  <si>
    <t>GERENCIA TÉCNICA DE SEGUROS GENERALES E INGENIERIAS</t>
  </si>
  <si>
    <t>Programas de asistencia a empleados</t>
  </si>
  <si>
    <t>servicios de asistencia de automóviles, domiciliaria y a personas para los ramos adscritos a la Gerencia Técnica de Automóviles, Gerencia Técnica de Seguros Generales y Gerencia Técnica de Seguros Patrimoniales y Vida</t>
  </si>
  <si>
    <t>Aprobadas</t>
  </si>
  <si>
    <t>CARLOS EDUARDO GONZALEZ TRIVIÑO</t>
  </si>
  <si>
    <t>Se actualiza vr de acuerdo con CDP 2024000131 (19/01/2024)</t>
  </si>
  <si>
    <t>ASISTENCIA EN EL HOGAR  PÓLIZAS MULTIRIESGO (C.M)</t>
  </si>
  <si>
    <t>Gerencia Actuaria</t>
  </si>
  <si>
    <t>Renovación del licenciamiento y el soporte técnico del Sistema SAS®, capacitar a sus funcionarios y de actualizar el servidor.</t>
  </si>
  <si>
    <t>JUAN SEBASTIAN JORDAN</t>
  </si>
  <si>
    <t>JUAN DAVID LOZANO</t>
  </si>
  <si>
    <t>SOFTWARE RMS</t>
  </si>
  <si>
    <t>43231511</t>
  </si>
  <si>
    <t>Software de sistemas expertos</t>
  </si>
  <si>
    <t>Implementacion Software FIS</t>
  </si>
  <si>
    <t>LEONARDO PARRA ALARCON</t>
  </si>
  <si>
    <t>NIIF - SERVICIOS ACTUARÍA</t>
  </si>
  <si>
    <t>84131701</t>
  </si>
  <si>
    <t>Fondos de pensiones administrados por el empleador</t>
  </si>
  <si>
    <t>Cálculo Pasivo Pensional</t>
  </si>
  <si>
    <t>SERVICIOS ACTUARIALES ESPECIALIZADOS</t>
  </si>
  <si>
    <t>MANTENIMIENTO SOFTWARE EMBLEM</t>
  </si>
  <si>
    <t>Servicios de asistencia de automóviles, domiciliaria y a personas para los ramos adscritos a la Gerencia Técnica de Automóviles, Gerencia Técnica de Seguros Generales e Ingenierías y Gerencia Técnica de Seguros Patrimoniales y Vida, a nivel nacional</t>
  </si>
  <si>
    <t>LUIS FELIPE CASTILLO BETANCOURT</t>
  </si>
  <si>
    <t>Se actualiza vr de acuerdo con CDP 2024000169 (19/01/2024)</t>
  </si>
  <si>
    <t>ASISTENCIA PÓLIZAS VIDA Y AP</t>
  </si>
  <si>
    <t>Gerencia Técnica de Automóviles</t>
  </si>
  <si>
    <t>Seguro de automóviles o camiones</t>
  </si>
  <si>
    <t>servicio para la consulta de las aplicaciones informáticas SISA y CEXPER y envío de información en línea vía internet para la obtención de resultados de siniestralidad de los riesgos consultados, cifras estadísticas del ramo, cifras estadísticas del sector y demás actividades propias que administre FASECOLDA y que tenga que ver con el sector asegurador en el ramo de Automóviles.</t>
  </si>
  <si>
    <t>WILSON ORLANDO PARRA NÚÑEZ</t>
  </si>
  <si>
    <t>Este proceso se llevó a cabo de acuerdo con la cotización enviada por el proveedor, cuyo valor es de $46,927,398 antes de IVA. El contrato se firmó el pasado 18 de diciembre de 2023 y la aceptación de oferta es la 183-2023.</t>
  </si>
  <si>
    <t>INVERFAS</t>
  </si>
  <si>
    <t>Servicio de asistencia vehícular</t>
  </si>
  <si>
    <t>Actualmente se encuentra en proceso de presentación en los diferentes comités internos de la compañía. 
Se actualiza vr. de acuerdo con CDP 2024000116</t>
  </si>
  <si>
    <t>ASISTENCIA VEHICULAR Y JURIDICA (C.M)</t>
  </si>
  <si>
    <t>Servicio suscripción Herramienta Contratación en Linea</t>
  </si>
  <si>
    <t>MARIA ISABEL WILCHES SEGOVIA</t>
  </si>
  <si>
    <t>OTRAS PUBLICACIONES G.PATRIMONIALES</t>
  </si>
  <si>
    <t>Gerencia Técnica De Seguros Generales E Ingenierias</t>
  </si>
  <si>
    <t>70141803</t>
  </si>
  <si>
    <t>Servicios de cultivos agrícolas</t>
  </si>
  <si>
    <t>Contratar una herramienta de emisión de pólizas del ramo Agropecuario</t>
  </si>
  <si>
    <t>ANDRES FELIPE GUERRA</t>
  </si>
  <si>
    <t>SEGURO AGROPECUARIO - AT</t>
  </si>
  <si>
    <t>Secretaría General</t>
  </si>
  <si>
    <t>Secretaria General</t>
  </si>
  <si>
    <t>Prestación de servicios profesionales</t>
  </si>
  <si>
    <t xml:space="preserve">Apoyar el direccionamiento de procesos asociados al fortalecimiento de una cultura de sostenibilidad y Responsabilidad Social Empresarial (RSE), mediante definición y realización de estrategias y acciones dirigidas a los ejes de Pacto Global de Naciones Unidas: Derechos Humanos, Ambiente, Estándares Laborales y Anticorrupción que permitan que PREVISORA sea un referente en estas materias ante la comunidad en general, entre otras actividades que contribuyan a desarrollo sostenible y al cumplimiento de los compromisos del Gobierno Nacional.  </t>
  </si>
  <si>
    <t>JAIVER ANDRÉS PARRA</t>
  </si>
  <si>
    <t>Se estima dar inicio a la ejecución del contrato el 1 de enero de 2025. La proyección se realizó con un IPC del 10.5%, con base en el valor 2024</t>
  </si>
  <si>
    <t>PRESTACIÓN DE SERVICIOS - SECRETARIA GENERAL</t>
  </si>
  <si>
    <t>Servicios de asesoría  fiscal</t>
  </si>
  <si>
    <t>Prestación de los servicios de Revisoría Fiscal a LA PREVISORA S.A. conforme con las normas legales vigentes aplicables a LA PREVISORA S.A., en especial las previstas en el artículo 207 del Código de Comercio, Estatuto Orgánico del Sistema Financiero, Circular Externa 029 de 2014 (Circular Básica Jurídica) expedida por la Superintendencia Financiera de Colombia, la Ley 222 de 1995, lo establecido en los Decretos 2420 del 14 de diciembre de 2015 y 2496 del 23 de diciembre de 2015, mediante los cuales se incorporaron las normas de auditoría y de aseguramiento de información (NAI), que están conformadas por el código de ética emitido por el IESBA, las normas internacionales de auditoría (NIA), las normas internacionales de control de calidad (NICC), las normas internacionales de trabajos de revisión (NITR), las normas internacionales de trabajos para atestiguar (ISAE) y las normas internacionales de servicios relacionados (NISR), todas emitidas por el Consejo de Normas Internacionales de Auditoría y Aseguramiento-IAASB-, así mismo, las establecidas en sus Estatutos Sociales siempre y cuando no contraríen la normatividad aplicable, y en aquellas normas que en el desarrollo de este contrato sean publicadas y regulen este objeto u otra obligación, o contenido de este contrato o aquellas que modifiquen, adicionen o sustituyan las mencionadas</t>
  </si>
  <si>
    <t xml:space="preserve">
MARÍA DEL PILAR RODRIGUEZ CABALLERO</t>
  </si>
  <si>
    <t>Se estima dar inicio a la ejecución del contrato el 5 de agosto de 2024 al 4 de agosto de 2025. Contratación excluida de la aplicación del Manual de contratación - Numeral 1.5 del MN - 117 que reza: Los contratos que legal o estatutariamente sean de competencia de la asamblea general de accionistas o de la Junta Directiva de la Previsora"</t>
  </si>
  <si>
    <t>HONORARIOS REVISORIA FISCAL</t>
  </si>
  <si>
    <t>Gerencia Talento Humano</t>
  </si>
  <si>
    <t>80111500</t>
  </si>
  <si>
    <t>Servicios de Recursos Humanos</t>
  </si>
  <si>
    <t>Suministro de bonos canasta</t>
  </si>
  <si>
    <t>MARÍA DEL PILAR RODRIGUEZ CABALLERO</t>
  </si>
  <si>
    <r>
      <t>Se proyecta IVA del 19% sobre AIU del 6 del contrato.</t>
    </r>
    <r>
      <rPr>
        <sz val="11"/>
        <color theme="1"/>
        <rFont val="Aptos Narrow"/>
        <family val="2"/>
        <scheme val="minor"/>
      </rPr>
      <t xml:space="preserve"> Nota el contrato actual finaliza en febrero de 2025, se estima comenzar con estudios de mercado en octubre de 2024</t>
    </r>
  </si>
  <si>
    <t>Suministro de bonos dotación</t>
  </si>
  <si>
    <t>JUAN MANUEL CAÑON</t>
  </si>
  <si>
    <t>Suministro de bonos regalo</t>
  </si>
  <si>
    <t>Servicios temporales-asistencia de oficina o administrativa temporal</t>
  </si>
  <si>
    <t xml:space="preserve">Suministro de personal temporal </t>
  </si>
  <si>
    <r>
      <t>Se proyecta IVA del 19% sobre AIU del 10 del contrato. Nota el contrato actual finaliza en</t>
    </r>
    <r>
      <rPr>
        <sz val="11"/>
        <color theme="1"/>
        <rFont val="Aptos Narrow"/>
        <family val="2"/>
        <scheme val="minor"/>
      </rPr>
      <t xml:space="preserve"> mayo de 2024, se estima comenzar con estudios de mercado en marzo de 2024</t>
    </r>
  </si>
  <si>
    <t>SERVICIOS TEMPORALES</t>
  </si>
  <si>
    <t>SERVICIOS TEMPORALES.</t>
  </si>
  <si>
    <t>Servicios legales sobre derecho laboral</t>
  </si>
  <si>
    <t>Asesor laboral y de seguridad social integral</t>
  </si>
  <si>
    <t>Seguros de vida</t>
  </si>
  <si>
    <t>Contratación Póliza de Vida Grupo plan de beneficios directivos</t>
  </si>
  <si>
    <t>INV. INTANGIBLES DIFERIDOS - OTROS</t>
  </si>
  <si>
    <t>INV. SEGUROS</t>
  </si>
  <si>
    <t>SEGURO DE VIDA A EMPLEADOS</t>
  </si>
  <si>
    <t>Subgerencia Desarrollo de Talento Humano</t>
  </si>
  <si>
    <t>Servicios de preselección  de hojas de vida o  currículum vitae</t>
  </si>
  <si>
    <t>Prestar servicios especializados en búsqueda de talentos (head hunter), selección y presentación de candidatos potenciales para suplir las vacantes de los cargos directivos que requiera la Compañía.</t>
  </si>
  <si>
    <t>LIANA ABRIL</t>
  </si>
  <si>
    <t>SELECCION DE PERSONAL</t>
  </si>
  <si>
    <t xml:space="preserve">FIRMAS ESPECIALIZADAS EN SELECCIÓN </t>
  </si>
  <si>
    <t>Servicio de arriendo o leasing de plataformas o equipos de comunicación de datos</t>
  </si>
  <si>
    <t>Prestar el servicio de uso y administración de plataforma virtual para pruebas de conocimientos de ingreso a LA PREVISORA S.A., así como el diseño de preguntas para los cargos que esta requiera</t>
  </si>
  <si>
    <t>No requiere estudio de mercado no van relacionadas presentación de ofertas</t>
  </si>
  <si>
    <t>OTROS GASTOS ASOCIADOS AL PROCESO DE SELECCIÓN DE PERSONAL</t>
  </si>
  <si>
    <t xml:space="preserve">Suministrar por medio de una plataforma a la PREVISORA S.A un stock de pruebas psicológicas especializadas en evaluación de competencias y personalidad </t>
  </si>
  <si>
    <t>Formación o desarrollo laboral</t>
  </si>
  <si>
    <t xml:space="preserve"> Desarrollar e implementar estrategias y herramientas necesarias para afianzar la cultura organizacional, basado en un proceso de integridad, gestión del cambio y liderazgo.</t>
  </si>
  <si>
    <t>CAPACITACION DE PERSONAL Y CONGRESOS, FOROS, SEMINARIOS Y SIMILARES</t>
  </si>
  <si>
    <t>CAPACITACION DE PERSONAL</t>
  </si>
  <si>
    <t>TRANSFORMANDO PREVISORA</t>
  </si>
  <si>
    <t>Contratar proveedor especializado  que brinde de acuerdo a las necesidades de capacitación, entrenamiento y/o desarrollo de los colaboradores de La Previsora en diferentes cursos, congresos, foros y seminarios (FASECOLDA)</t>
  </si>
  <si>
    <t>GTOS DE CAPACITACIÓN AL PERSONAL</t>
  </si>
  <si>
    <t>Contratar proveedor especializado  que brinde de acuerdo a las necesidades de capacitación, entrenamiento y/o desarrollo de los colaboradores de La Previsora en diferentes cursos, congresos, foros y seminarios (INS)</t>
  </si>
  <si>
    <t>Contratar proveedores especializados  que brinde de acuerdo a las necesidades de capacitación, entrenamiento y/o desarrollo de los colaboradores de La Previsora en diferentes cursos, congresos, foros y seminarios</t>
  </si>
  <si>
    <t>Este concepto corresponde a la contratación de diferentes proveedores de acuerdo a los requerimientos que presenten las áreas en el transcurso del año, por esto no se tiene fecha estimada para presentar ofertas y la contratación es Directa por ser requerimientos de menor valor a los 50 SMLMV</t>
  </si>
  <si>
    <t>Subgerencia Administración de Personal</t>
  </si>
  <si>
    <t>Evaluación diagnóstica y productos de examen de uso general</t>
  </si>
  <si>
    <t>Exámenes médicos ocupacionales de ingreso, egreso, periódicos, post incapacidad entre otros</t>
  </si>
  <si>
    <t>KATERINE ALVARADO - MARTHA LUCIA GOMEZ</t>
  </si>
  <si>
    <t>PROGRAMAS DE BIENESTAR SOCIAL Y RECREACION</t>
  </si>
  <si>
    <t>GASTOS DE SALUD OCUPACIONAL Y SISTEMA DE SGSST</t>
  </si>
  <si>
    <t xml:space="preserve">Servicios de pruebas técnicas </t>
  </si>
  <si>
    <t>Evaluaciones esfera mental y osteomusculares para teletrabajo</t>
  </si>
  <si>
    <t>Kits de primera respuesta para servicios médicos de emergencia</t>
  </si>
  <si>
    <t>Compra de elementos de emergencias, camillas, puntos seguros, botiquines, señalización, chalecos etc.</t>
  </si>
  <si>
    <t>Accesorios de almacenamiento de soporte para computadores</t>
  </si>
  <si>
    <t>Compra de elementos ergonómicos (elevadores de pantalla y Descansa pies)</t>
  </si>
  <si>
    <t>Servicio de consultoría para la actualización de matrices de peligros y planes de emergencias</t>
  </si>
  <si>
    <t xml:space="preserve">MARTHA LUCIA GOMEZ </t>
  </si>
  <si>
    <t xml:space="preserve">Servicio de administración de Nómina </t>
  </si>
  <si>
    <t>SERVICIO DE LIQUIDACION DE NOMINA Y ADMINISTRACIÓN DE PERSONAL</t>
  </si>
  <si>
    <t>Eventos profesionales deportivos</t>
  </si>
  <si>
    <t>Entrenador  deportivo y eventos</t>
  </si>
  <si>
    <t>PLAN DE BIENESTAR</t>
  </si>
  <si>
    <t>Gestión de eventos</t>
  </si>
  <si>
    <t>Plan de bienestar</t>
  </si>
  <si>
    <t>Postres preparados</t>
  </si>
  <si>
    <t>Suministro de repostería y pasabocas</t>
  </si>
  <si>
    <t>Seguros de asistencia médica y hospitalización</t>
  </si>
  <si>
    <t>Póliza de hospitalización y cirugía para los funcionarios confeccionados según convención colectiva de trabajo 2024 - 2027 para la vigencia 2025</t>
  </si>
  <si>
    <t>ELIANA DEL CARMEN ROYS</t>
  </si>
  <si>
    <r>
      <t>El pago de este contrato se hace con presupuesto del año de la vigencia a contratar (2025)</t>
    </r>
    <r>
      <rPr>
        <sz val="11"/>
        <color theme="1"/>
        <rFont val="Aptos Narrow"/>
        <family val="2"/>
        <scheme val="minor"/>
      </rPr>
      <t xml:space="preserve"> </t>
    </r>
  </si>
  <si>
    <t>POLIZA DE HOSPITALIZACION Y CIRUGIA</t>
  </si>
  <si>
    <t>Póliza de vida grupo y exequias para los funcionarios confeccionados según convención colectiva de trabaja 2024 - 2027 para la vigencia 2025</t>
  </si>
  <si>
    <t xml:space="preserve">El pago de este contrato se hace con presupuesto del año de la vigencia a contratar (2025).  </t>
  </si>
  <si>
    <t>Póliza vida grupo deudor para los prestamos hipotecarios que han y/o serán otorgados a los trabajadores, según lo defino en la convención colectiva de trabajo 2024 - 2027 para la vigencia 2025</t>
  </si>
  <si>
    <r>
      <t>El pago de este contrato se hace con presupuesto del año de la vigencia a contratar (2025).</t>
    </r>
    <r>
      <rPr>
        <sz val="11"/>
        <color theme="1"/>
        <rFont val="Aptos Narrow"/>
        <family val="2"/>
        <scheme val="minor"/>
      </rPr>
      <t xml:space="preserve"> </t>
    </r>
  </si>
  <si>
    <t>SEGURO DEUDORES DE PRESTAMOS HIPOTECARIOS</t>
  </si>
  <si>
    <t>Servicios de asesoría en riesgo</t>
  </si>
  <si>
    <t>Intermediación de seguros para realizar la asesoría necesaria para obtener el cubrimiento de los riesgos derivados de la póliza de hospitalización y cirugía.</t>
  </si>
  <si>
    <t xml:space="preserve">No genera ningún tipo de erogación a la Compañía </t>
  </si>
  <si>
    <t>Seguros de edificios o del contenido de edificios</t>
  </si>
  <si>
    <t>Póliza de incendio y terremoto para los inmuebles que se encuentran hipotecados a favor de la compañía por el préstamo otorgado a los trabajadores según la convención colectiva de trabajo 2024 - 2027 para la vigencia 2025</t>
  </si>
  <si>
    <t>El pago de este contrato se hace con presupuesto del año de la vigencia a contratar (2025)</t>
  </si>
  <si>
    <t>INCENDIO Y/O TERREMOTO</t>
  </si>
  <si>
    <t>Agencias de viajes</t>
  </si>
  <si>
    <t>Contratar una agencia de viajes que cumpla con los requisitos exigidos por la normatividad vigente y que ofrezca las mejores condiciones para satisfacer las necesidades de La Previsora S.A. Compañía de Seguros para realizar los trámites de emisión de tiquetes aéreos y reservar hoteleras (habitaciones y salas de reunión) en destinos nacionales e internacionales</t>
  </si>
  <si>
    <t xml:space="preserve">El presupuesto diligenciado en este PAA es para el nuevo contrato.  El actual vence en junio 2024.  </t>
  </si>
  <si>
    <t>GASTOS DE VIAJE</t>
  </si>
  <si>
    <t>AGENCIA DE VIAJES (Alojamiento y tiquetes) - Gastos de viaje</t>
  </si>
  <si>
    <t>Servicios legales de cobro de deudas o cartera.</t>
  </si>
  <si>
    <t>Convenio de colaboración tecnológica y operativa para la operación integral  de los créditos al personal y la respectiva cartera actual y futura.</t>
  </si>
  <si>
    <t>El pago de este contrato se hace con presupuesto a partir del año de la vigencia a contratar (2025)
Se ajusta el valor del presupuesto del 2024 a $0 teniendo en cuenta que el nuevo contrato a realizar inicio en enero 2025.</t>
  </si>
  <si>
    <t>SERVICIO DE OUTSOURCING PARA LA ADMÓN Y CONTROL DE CREDITOS AL PERSONAL</t>
  </si>
  <si>
    <t>Subgerencia De Recursos Físicos</t>
  </si>
  <si>
    <t>Servicios de siembra de árboles. arbustos o plantas ornamentales</t>
  </si>
  <si>
    <t>Cumplimiento a la Ley 2173 del 30 de diciembre de 2021 - Siembra de árboles - Aproximadamente 1400 árboles (2 árboles por cada funcionario)</t>
  </si>
  <si>
    <t>LILIA SORAYA MANZANO ROMERO</t>
  </si>
  <si>
    <t>En el 2023 no se efectuó la contrtación toda vez que la Ley se encuentra en proceso de reglamentación, la cual se tiene prevista quede en el primer semestre del 2024, razón por la cual el proceso se traslada para esa vigencia</t>
  </si>
  <si>
    <t>ELEMENTOS VARIOS FUNGIBLES</t>
  </si>
  <si>
    <t>77111600</t>
  </si>
  <si>
    <t>Rehabilitación ambiental</t>
  </si>
  <si>
    <t>Compra de bonos de carbono para compensación</t>
  </si>
  <si>
    <t>Contratación directa con C02, dado que es la única empresa que entrega la certificación avalada por el ICONTEC</t>
  </si>
  <si>
    <t>complementar rubro</t>
  </si>
  <si>
    <t xml:space="preserve">Subgerencia De Recursos Físicos </t>
  </si>
  <si>
    <t>Servicios de elaboración de bebidas de agua</t>
  </si>
  <si>
    <t>Contratar el suministro para  los funcionarios y visitantes de Casa Matriz de bebidas hidratantes.</t>
  </si>
  <si>
    <t>MARTHA ISABEL PUERTO MESA</t>
  </si>
  <si>
    <t>De los productos que se compran solo los jugos son gravados con IVA // Proceso inicia en 2024 pero se perfeccionaría el contrato en 2025</t>
  </si>
  <si>
    <t>Fotocopiadoras</t>
  </si>
  <si>
    <t>Contratar el servicio de fotocopias para todas las dependencias de Casa Matriz</t>
  </si>
  <si>
    <t>Proceso inicia en 2024 pero se perfeccionaría el contrato en 2025</t>
  </si>
  <si>
    <t>Servicios de auditoria ambiental de empresas</t>
  </si>
  <si>
    <t>Contratar la recertificación del transporte vertical y puertas eléctricas de Casa Matriz</t>
  </si>
  <si>
    <t>JUDICIALES, NOTARIALES Y DE REGISTRO</t>
  </si>
  <si>
    <t>GASTOS JUDICIALES, NOTARIALES Y DE SOLICITUD DE CERTIFICADOS</t>
  </si>
  <si>
    <t>Máquinas de cappuccino o expreso</t>
  </si>
  <si>
    <t xml:space="preserve">Contratar el mantenimiento de las máquinas de café </t>
  </si>
  <si>
    <t>Proceso inicia en 2024 vigente hasta el 2025, pero es un unico pago que se realizara en la vigencia 2024, por tal motivo no se dejan recursos para la vigencia 2025</t>
  </si>
  <si>
    <t>MANTENIMIENTO Y REPARACIONES ADMINISTRATIVAS</t>
  </si>
  <si>
    <t>MANTENIMIENTO Y REPARACIONES MUEBLES, ENSERES Y OTROS</t>
  </si>
  <si>
    <t>Sellos notariales</t>
  </si>
  <si>
    <t>Contratar los gastos notariales para las diferentes dependencias de Casa Matriz</t>
  </si>
  <si>
    <t>Servicio de instalación o mantenimiento o reparación de aires acondicionados</t>
  </si>
  <si>
    <t>Contratar el mantenimiento preventivo y correctivo de los aires acondicionados de Casa Matriz y la "L"</t>
  </si>
  <si>
    <t>Se distribuyen los valores de los pagos entre las mensualidades de las vigencias 2024 y 2025, de acuerdo con la estimación del plazo proyectado</t>
  </si>
  <si>
    <t>MANTENIMIENTO DE AIRE ACONDICIONADO</t>
  </si>
  <si>
    <t>Contratar el intermediario para la renovación del programa de seguros</t>
  </si>
  <si>
    <t>Contratar la compra de los termos para el servicio de cafetería de Casa Matriz</t>
  </si>
  <si>
    <t>Se mantiene el plazo de la contratación, toda vez que la garantía de los productos es de 12 meses</t>
  </si>
  <si>
    <t>Revistas</t>
  </si>
  <si>
    <t>Contratar la suscripción al diario La República</t>
  </si>
  <si>
    <t>DIARIO LA REPUBLICA</t>
  </si>
  <si>
    <t>Contratar todos los ramos de seguros para los bienes muebles e inmuebles de La Previsora S.A. Cía de Seguros</t>
  </si>
  <si>
    <t xml:space="preserve">Contratar los ramos de Automóviles, Manejo Comercial, Responsabilidad Civil, Riesgos Cibernéticos, Servidores Públicos, Todo Riesgo Daños Materiales, Transporte de Valores e Infidelidad y Riesgos Financieros </t>
  </si>
  <si>
    <t>Servicio de instalación y mantenimiento de avisos</t>
  </si>
  <si>
    <t>Realizar el servicio de mantenimiento de puertas de seguridad y avisos luminosos de las sedes ubicadas en la ciudad de Bogotá.</t>
  </si>
  <si>
    <t>Proceso inicia en 2024 pero se perfeccionaría el contrato en 2025//Mantenimientos mensuales. Primer pago en enero 2025, por este motivo el presupuesto se ubica en esta vigencia</t>
  </si>
  <si>
    <t>70171704</t>
  </si>
  <si>
    <t>Servicios de  mantenimiento o administración  de estaciones de bombeo</t>
  </si>
  <si>
    <t>Mantenimiento correctivo del sistema de bombeo, inyectores y extractores</t>
  </si>
  <si>
    <t>Se contempla la opción de realizar la contratación a un plazo de ejecución de 36 meses, con el fin de buscar beneficios económicos con descuentos o mantener precios para el cubrimiento de la necesidad por este tiempo</t>
  </si>
  <si>
    <t>46191601</t>
  </si>
  <si>
    <t>Extintores</t>
  </si>
  <si>
    <t>Revisión y recarga de extintores</t>
  </si>
  <si>
    <t>Suscripción vía web vLex</t>
  </si>
  <si>
    <r>
      <t xml:space="preserve">Proceso inicia en 2024 pero se perfeccionaría el contrato en 2025 / </t>
    </r>
    <r>
      <rPr>
        <sz val="11"/>
        <color theme="1"/>
        <rFont val="Aptos Narrow"/>
        <family val="2"/>
        <scheme val="minor"/>
      </rPr>
      <t>pero es un unico pago que se realizara en la vigencia 2025, por tal motivo no se dejan recursos para la vigencia 2026</t>
    </r>
  </si>
  <si>
    <t>72101506</t>
  </si>
  <si>
    <t>Servicios de mantenimiento de ascensores</t>
  </si>
  <si>
    <t>Mantenimiento ascensores</t>
  </si>
  <si>
    <t xml:space="preserve">Proceso inicia en 2024 vigente hasta el 2025, pero es un unico pago que se realizara en la vigencia 2024, por tal motivo no se dejan recursos para la vigencia 2025 // Se distribuyen los valores de los pagos entre las mensualidades de las vigencias 2024 y 2025, de acuerdo con la estimación del plazo proyectado </t>
  </si>
  <si>
    <t>90101700</t>
  </si>
  <si>
    <t>Servicios de cafetería</t>
  </si>
  <si>
    <t xml:space="preserve">Servicio de aseo y cafetería </t>
  </si>
  <si>
    <t xml:space="preserve">Se cambia a "SI" necesidad de vigencias futuras; se deja el ppto aprobado 2024. //Se modifica la distribución presupuestal entre las vigencias </t>
  </si>
  <si>
    <t>ASEO Y CAFETERIA</t>
  </si>
  <si>
    <t>CONTRATO NAC. SERVICIO DE ASEO Y CAFETERIA_Aseo
CONTRATO NAC. SERVICIO DE ASEO Y CAFETERIA_Cafeteria</t>
  </si>
  <si>
    <t>Servicios de vigilancia</t>
  </si>
  <si>
    <t>Servicio de vigilancia nacional</t>
  </si>
  <si>
    <t>Se cambia a "SI" necesidad de vigencias futuras. Se deja el esitmado de la contratación para iniciar proceso de estudio de mercado en 2024 para vigencia 2025//Se incluye el presupuesto del rubro para el 2024 por instrucción de la Gerencia de Contratación</t>
  </si>
  <si>
    <t>VIGILANCIA</t>
  </si>
  <si>
    <t>CONTRATO NAC. DE VIGILANCIA</t>
  </si>
  <si>
    <t>Alquiler y arrendamiento de propiedades o edificaciones</t>
  </si>
  <si>
    <t>Arrendamiento Sintraprevi 018-2021</t>
  </si>
  <si>
    <t>MÓNICA NAIREL HERNÁNDEZ MARTÍNEZ</t>
  </si>
  <si>
    <t>ENTIDADES VINCULADAS A LA COMPAÑIA</t>
  </si>
  <si>
    <t>SINTRAPREVI</t>
  </si>
  <si>
    <t>ARRIENDO - SINTRAPREVI</t>
  </si>
  <si>
    <t>Arrendamiento Asdecos 165-2023</t>
  </si>
  <si>
    <t>ENTIDADES VINCULADAS A LA COMPAÑÍA</t>
  </si>
  <si>
    <t>ASDECOS</t>
  </si>
  <si>
    <t>ARRIENDO - ASDECOS</t>
  </si>
  <si>
    <t>Servicios de transporte de carga por carretera (en camión) en área local</t>
  </si>
  <si>
    <t>Contratación ACARREOS</t>
  </si>
  <si>
    <t>TRANSPORTE URBANO Y ACARREOS</t>
  </si>
  <si>
    <t>ACARREOS</t>
  </si>
  <si>
    <t>Software de administración</t>
  </si>
  <si>
    <t xml:space="preserve">Renovación soporte y mantenimiento aplicativo LEVIN </t>
  </si>
  <si>
    <t>SIAF</t>
  </si>
  <si>
    <t>Servicios de avalúo de inmuebles</t>
  </si>
  <si>
    <t>Contratar avalúos y estudio de títulos de los inmuebles de las compañía bajo normas NIIF</t>
  </si>
  <si>
    <t>HONORARIOS POR AVALUOS</t>
  </si>
  <si>
    <t>Procedimientos o servicios administrativos</t>
  </si>
  <si>
    <t>Contratar saneamiento administrativo  de los inmuebles de las compañía</t>
  </si>
  <si>
    <t xml:space="preserve">Se proyecta la contratación toda vez que es una labor importante para el saneamiento de los inmuebles de la compañía; sin embargo, la misma se daría solo en caso de que surgieran nuevas situaciones para subsanar </t>
  </si>
  <si>
    <t>Servicios de mensajería courrier</t>
  </si>
  <si>
    <t>Contratar el servicio de mensajería expresa a través de mensajería expresa o Courier para atender la recepción, clasificación, distribución transporte y entrega de documentos y paquetes corporativos solicitada por Casa Matriz - Subgerencia de Recursos Físicos, manejado a través del sistema de crédito con pago según guía prenumerada para atender el correo certificado a nivel urbano, municipios cercanos, municipios lejanos, distribución nacional; envíos aeropuerto-aeropuerto y servicio urgente y o para envío internacionales</t>
  </si>
  <si>
    <t>NATHALY ANDREA MUÑOZ GARRIDO</t>
  </si>
  <si>
    <t>SE REQUIERE ESTA CONTRATACIÓN PARA CAMBIAR LA MODALIDAD DE CONTRATACIÓN QUE EXISTE CON EL ACTUAL PROVEEDOR INTERRAPIDÍSIMO//Se modifica la descripción del proceso. El acuerdo vigente con Interrapidísimo finaliza en febrero de 2024. Proceso en estudio de mercado, fecha límite de envío de cotización 21 de diciembre 2023. Actualmente, con la debida programación Interrapidísimo hace estas entregas, adicionalmente, con el estudio de mercado se incluyó cotizar el servicio urgente (se envía en la mañana y llega el mismo día a la dirección de destino)  // mirar si lo dejan en el PAA 2024 o PAA 2023// Por instrucción de la Gerencia de Contratación, aquellos procesos cuyo inicio tuvo lugar en la vigencia 2023, pero su legalización se dé en el 2024 tendrán que incluirse en los dos PAA. Por tal razón, se dejaron relacionados en este archivo, dado que se encuentran en estudio de mercado.</t>
  </si>
  <si>
    <t>TRANSPORTE URBANO</t>
  </si>
  <si>
    <t>SERVICIO DE MENSAJERIA ESPECIALIZADA</t>
  </si>
  <si>
    <t>Carro eléctrico</t>
  </si>
  <si>
    <t>Compra de vehículo eléctrico para el Presidente de la compañía</t>
  </si>
  <si>
    <t>INV. ADQUISICIÓN ACTIVOS FIJOS</t>
  </si>
  <si>
    <t>INV. ADQUISICIÓN ACTIVOS  - VEHICULOS</t>
  </si>
  <si>
    <t>VEHÍCULOS</t>
  </si>
  <si>
    <t>56101700</t>
  </si>
  <si>
    <t>Muebles de oficina</t>
  </si>
  <si>
    <t>Compra de activos fijos para Casa Matriz (Sillas, aires acondicionados y demás necesidades)</t>
  </si>
  <si>
    <t>Se ajusta el valor de acuerdo con el presupuesto definitivo aprobado</t>
  </si>
  <si>
    <t>INV. ADQUISICIÓN ACTIVOS - EQUIPO, MUEBLES, ENSERES DE OFICINA</t>
  </si>
  <si>
    <t>ADQ. DE ACTIVOS FIJOS NECESIDADES CASA MATRIZ</t>
  </si>
  <si>
    <t>Servicios de correo electrónico y mensajería</t>
  </si>
  <si>
    <t xml:space="preserve">Correo electrónico certificado </t>
  </si>
  <si>
    <t>RUSBI JAIR ORDUZ GONZÁLEZ</t>
  </si>
  <si>
    <t>Este presupuesto fue proyectado por la Gerencia de Tecnología, quienes a hoy administran el contrato. El presupuesto se debe trasladar a la Subgerencia en la siguiente vigencia</t>
  </si>
  <si>
    <t>SERVICIO DE CORREO</t>
  </si>
  <si>
    <t>MENSAJERIA ESPECIAL A NIVEL NACIONAL</t>
  </si>
  <si>
    <t>39112505</t>
  </si>
  <si>
    <t>Luminarias tipo perfil</t>
  </si>
  <si>
    <t>Compra para el cambio de luminarias convencionales por LED - Casa Matriz</t>
  </si>
  <si>
    <t>THELMIRA NÚÑEZ GAONA</t>
  </si>
  <si>
    <t>Se deja como supervisor a Thelmira dado que el cambio de luminarias debe ser acorde a las remodelaciones proyectadas; asimismo, se deja aparte de ferretería para no limitar la oferta de características y diseños.</t>
  </si>
  <si>
    <t>Ferretería en general</t>
  </si>
  <si>
    <t>Suministro y distribución continua de herramientas, materiales de construcción, materiales eléctricos y de ferretería</t>
  </si>
  <si>
    <t>El supervisor del contrato se modificará a Thelmira, determinación tomada basados en cargas y relación con el objeto del contrato</t>
  </si>
  <si>
    <t>PROVEEDURIA SUMINISTRO DE ELEMENTOS FUNGIBLES</t>
  </si>
  <si>
    <t>Servicios de terminado interior, dotación y remodelación</t>
  </si>
  <si>
    <t>Casa Matriz_Adecuación integral y remodelación de tres de los pisos de Casa Matriz, incluye obra civil, sistema de oficina abierta, red eléctrica normal y regulada e iluminación</t>
  </si>
  <si>
    <t>Estudio de mercado cierra en 2023 pero proceso contractual iniciaría en el 2024// Por instrucción de la Gerencia de Contratación, aquellos procesos cuyo inicio tuvo lugar en la vigencia 2023, pero su legalización se dé en el 2024 tendrán que incluirse en los dos PAA. Por tal razón, se dejaron relacionados en este archivo, dado que se encuentran en estudio de mercado.</t>
  </si>
  <si>
    <t>ADECUACION E INSTALACION DE OFICINA</t>
  </si>
  <si>
    <t>Cúcuta Adecuación integral y remodelación de la sucursal, incluye obra civil, sistema de oficina abierta, red eléctrica normal y regulada e iluminación</t>
  </si>
  <si>
    <t>Florencia Adecuación integral y remodelación de la sucursal, incluye obra civil, sistema de oficina abierta, red eléctrica normal y regulada e iluminación</t>
  </si>
  <si>
    <t>Contratar la suscripción Ámbito Jurídico</t>
  </si>
  <si>
    <t>PUBLICACIONES_SUSCRIPCIONES_Y_BIBLIOTECA</t>
  </si>
  <si>
    <t>PUBLICACIONES_SUSCRIPCIONES_Y_BIBLIOTECA_</t>
  </si>
  <si>
    <t>PUBLICACIONES AVISOS DE PRENSA</t>
  </si>
  <si>
    <t>95122401</t>
  </si>
  <si>
    <t>Taller</t>
  </si>
  <si>
    <t>Contratar el mantenimiento preventivo y correctivo de los vehiculos de la Compañía</t>
  </si>
  <si>
    <t>Inicialmente se contempló la posibilidad a 3 años; sin embargo, al estimar la compra de un vehículo, se deja el plazo de ejecución a 31 de diciembre de 2024, entre tanto se reciban nuevas instrucciones.</t>
  </si>
  <si>
    <t>56101522</t>
  </si>
  <si>
    <t>Sillas de brazos</t>
  </si>
  <si>
    <t>suministro y ensamblaje de sillas tipo operativa, gerencial y sala de juntas para las oficinas de la compañía a nivel nacional</t>
  </si>
  <si>
    <t>Proceso que inició en diciembre 2023 y el contrato se suscribe en 2024.</t>
  </si>
  <si>
    <t>SIILAS OPERATIVAS Y GERENCIALES</t>
  </si>
  <si>
    <t xml:space="preserve">Apoyar el direccionamiento de procesos asociados al fortalecimiento de una cultura de sostenibilidad y Responsabilidad Social Empresarial (RSE), mediante definición y realización de estrategias y acciones dirigidas a los ejes de Pacto Global de Naciones Unidas: Derechos Humanos, Ambiente, Estándares Laborales y Anticorrupción y cumplimiento de los compromisos del Gobierno Nacional.  </t>
  </si>
  <si>
    <t>Se estima dar inicio a la ejecución del contrato el 1 de enero de 2024 ( se solicita incluir esta contratación de conformidad el numeral 3.1.2 del Manual de Contratación)</t>
  </si>
  <si>
    <t>Prestación de servicios de asesoría, acompañamiento y apoyo legal a La Previsora S.A. para la incorporación de todas las normas relacionadas a Gobierno Corporativo, en virtud de su incorporación al Grupo Bicentenario S.A.S. .</t>
  </si>
  <si>
    <t>Se estima dar inicio a la ejecución del contrato en enero de 2024.</t>
  </si>
  <si>
    <t>Vicepresidencia Comercial</t>
  </si>
  <si>
    <t>Oficina de Mercadeo y Publicidad</t>
  </si>
  <si>
    <t>Servicios de agencia de publicidad</t>
  </si>
  <si>
    <t>Contratacion proveedor mercadeo 360°, Comunicaciones externas e interna y PR</t>
  </si>
  <si>
    <t>ELEMENTOS PROMOCIONALES Y PUBLICIDAD Y PROPAGANDA-GASTOS DE MERCADEO-HONORARIOS ADMINISTRATIVOS</t>
  </si>
  <si>
    <t>PUBLICIDAD Y PROPAGANDA-GASTOS DE MERCADEO-HONORARIOS ADMINISTRATIVOS</t>
  </si>
  <si>
    <t>GASTOS AGENCIAS-GASTOS DE MERCADEO-ASESORIAS EN ESTRATEGIAS INTEGRALES DE COMUNICACIÓN</t>
  </si>
  <si>
    <t>Publicidad impresa</t>
  </si>
  <si>
    <t>Suministro de piezas gráficas impresas correspondientes al material publicitario y merchandising.</t>
  </si>
  <si>
    <t>ALEJANDRA ESCOBAR NIÑO</t>
  </si>
  <si>
    <t>ELEMENTOS_PROMOCIONALES_Y_PUBLICIDAD_Y_PROPAGANDA</t>
  </si>
  <si>
    <t>PUBLICIDAD Y PROPAGANDA</t>
  </si>
  <si>
    <t>FOLLETERIA Y PUBLICACIONES</t>
  </si>
  <si>
    <t>Publicidad difundida</t>
  </si>
  <si>
    <t>Promocionales masivos</t>
  </si>
  <si>
    <t>ELEMENTOS PROMOCIONALES Y PUBLICIDAD Y PROPAGANDA</t>
  </si>
  <si>
    <t>ELEMENTOS PROMOCIONALES</t>
  </si>
  <si>
    <t>MATERIAL PROMOCIONAL</t>
  </si>
  <si>
    <t>Compra de elementos POP - Elite</t>
  </si>
  <si>
    <t>Gerencia Desarrollo comercial</t>
  </si>
  <si>
    <t>86101705</t>
  </si>
  <si>
    <t>Capacitación administrativa</t>
  </si>
  <si>
    <t>prestación de servicios para diseñar, estructurar, desarrollar e implementar los programas de formación definidos por LA PREVISORA S.A. y garantizar su implementación a nivel nacional, para los aliados estratégicos vinculados</t>
  </si>
  <si>
    <t>NUBIA CHAMORRO</t>
  </si>
  <si>
    <t>Universidades y politécnicos</t>
  </si>
  <si>
    <t>Capacitaciones dirigidas a intermediarios para el desarrollo de la estrategia, acompañamiento y productividad, permitiendo fortalecer sus capacidades y hacer uso de las herramientas comerciales.</t>
  </si>
  <si>
    <t>NUBIA CHAMORRO 
MILENA LUCIA ACOSTA NIÑO</t>
  </si>
  <si>
    <t>Prestación de Servicios para el suministro de tiquetes aéreos nacionales e internacionales, alojamiento, desplazamientos terrestres, asesoría y trámites conexos con este tipo de servicios para los Intermediarios que cumplan las condiciones del Plan de Reconocimiento Mutuamente 2023.</t>
  </si>
  <si>
    <t>43232300</t>
  </si>
  <si>
    <t>Desarrollar y poner en funcionamiento el Sistema Unificado de Consulta de Intermediarios de Seguros – SUCIS Gremial, que permitirá consolidar y dar a conocer a la Superintendencia Financiera y al público en general, la información relacionada con la idoneidad, experiencia y capacidad de los intermediarios</t>
  </si>
  <si>
    <t>AMINTA PUYO MENDEZ
NUBIA CHAMORRO</t>
  </si>
  <si>
    <t>Gerencia De Servicio</t>
  </si>
  <si>
    <t>Servicios de buró de central de llamadas ('call center')</t>
  </si>
  <si>
    <t>Contratación de los servicios de operación y administración del contact center de la Compañía."administracion de las comunicacines"</t>
  </si>
  <si>
    <t>GUSTAVO GARCÍA
JUAN DAVID SÁNCHEZ</t>
  </si>
  <si>
    <t>El presupuesto para 2025 y 2026 esta sujeto a lo que apruebe la Junta para el proceso de invitación abierta
Se estiman $27.000.0000.000. incluido IVA</t>
  </si>
  <si>
    <t>ADMINISTRACION DE LAS COMUNICACIONES</t>
  </si>
  <si>
    <t>CONTAC CENTER ( MODALIDAD INSOURCING)</t>
  </si>
  <si>
    <t>Contratación de los servicios de operación y administración del contact center de la Compañía "call center"</t>
  </si>
  <si>
    <t>El presupuesto para 2025 y 2026 esta sujeto a lo que apruebe la Junta para el proceso de invitación abierta
Se estiman $27.000.0000.000 incluido IVA</t>
  </si>
  <si>
    <t>CALL CENTER</t>
  </si>
  <si>
    <t>43232408</t>
  </si>
  <si>
    <t>Software de desarrollo de plataformas web</t>
  </si>
  <si>
    <t>Contratación de los servicios de administración y mantenimiento de la página www.saberseguro.com</t>
  </si>
  <si>
    <t>YANET ROJAS HERNÁNDEZ</t>
  </si>
  <si>
    <t>En proceso, pendiente de CDP por parte de Planeación financiera, informan que hasta el 13 de diciembre se genera</t>
  </si>
  <si>
    <t>SISTEMA DE ADMINISTRACION FINANCIERA - SAC</t>
  </si>
  <si>
    <t>SISTEMA DE ADMINISTRACION FINANCIERA</t>
  </si>
  <si>
    <t>Mercancía promocional</t>
  </si>
  <si>
    <t>Con el objeto de dar continuidad a las diferentes gestiones que se vienen adelantando dentro del Sistema de Atención al Consumidor – SAC de Previsora Seguros, se hace necesario adquirir elementos de apoyo para ser entregados a los Consumidores Financieros como resarcimientos por peticiones, quejas y reclamos, así como por participación en los talleres, capacitaciones, conferencias, ferias  y demás actividades de sensibilización y socialización sobre temas de Educación Financiera o asociadas al SAC, así como a asistente a las jornadas de capacitación interna, virtual o presencial dirigida a funcionarios y terceros que participan dentro del proceso de atención al consumidor.</t>
  </si>
  <si>
    <t>ANGIE CHINOME</t>
  </si>
  <si>
    <t>Resarcimiento y promocionales educación financiera</t>
  </si>
  <si>
    <t>SISTEMA DE ADMINISTRACION FINANCIERA- COMPRAS</t>
  </si>
  <si>
    <t>Servicios de asesoramiento sobre  inteligencia empresarial</t>
  </si>
  <si>
    <t>Herramienta de gestión de encuestas</t>
  </si>
  <si>
    <t>JUAN DAVID SÁNCHEZ</t>
  </si>
  <si>
    <t>Se realizará la contratación de la herramienta de mediciones</t>
  </si>
  <si>
    <t>materiales de enseñanza</t>
  </si>
  <si>
    <t>Prestación de los servicios de asesoría, diseño y desarrollo de contenidos conceptuales o teóricos, así como un programa de coaching financiero en cumplimiento de los criterios del sello de calidad definidos en la Resolución 0240 del 2022 emitida por la Superintendencia Financiera, mediante herramientas prácticas, talleres, material educativo, entre otros, que fortalezcan el programa de Educación Financiera actual de LA PREVISORA S.A, Saber Seguro.</t>
  </si>
  <si>
    <t>Se dará continuidad al programa</t>
  </si>
  <si>
    <t>SMART SUPERVISIÓN</t>
  </si>
  <si>
    <t>Sucursal</t>
  </si>
  <si>
    <t>ARAUCA</t>
  </si>
  <si>
    <t>Reuniones y eventos</t>
  </si>
  <si>
    <t>CONTRATAR ESPACIO PARA LA CELEBRACION DEL DIA DE LA FAMILIA FUNCIONARIOS</t>
  </si>
  <si>
    <t>SIMPLIFICADA</t>
  </si>
  <si>
    <t>PEDRO PEÑA</t>
  </si>
  <si>
    <t>contratar espacio para la celebración fin de año funcionarios</t>
  </si>
  <si>
    <t>Arrendamiento de instalaciones comerciales o industriales</t>
  </si>
  <si>
    <t>Renovar contrato de arrendamiento local de la sucursal.</t>
  </si>
  <si>
    <t>DEPRECIACIONES</t>
  </si>
  <si>
    <t>DEPRECIACION POR DERECHO DE USO</t>
  </si>
  <si>
    <t>Contrato de mantenimiento de aires acondicionados y reinstalaciones de las unidades, letrero exterior, luminarias</t>
  </si>
  <si>
    <t>Pintura</t>
  </si>
  <si>
    <t>CONTRATAR MANTIMIENTO DE LA PARTE FISICA DE LOCAL DE LA SUCURSAL</t>
  </si>
  <si>
    <t>72101516</t>
  </si>
  <si>
    <t>Servicio de inspección, mantenimiento o reparación de extinguidores de fuego</t>
  </si>
  <si>
    <t>contratar la recarga de los extintores de la sucursal</t>
  </si>
  <si>
    <t>MANTENIMIENTO DE EXTINTORES</t>
  </si>
  <si>
    <t>Servicios de banquetes y catering</t>
  </si>
  <si>
    <t>Lanzamiento Mutuamente Intermediarios</t>
  </si>
  <si>
    <t>Cierre de Gestion Intermediarios</t>
  </si>
  <si>
    <t>ARMENIA</t>
  </si>
  <si>
    <t>80141902</t>
  </si>
  <si>
    <t>Actividad integración familiar funcionarios suc Armenia 2024</t>
  </si>
  <si>
    <t>GIOVANNA M HERNANDEZ GARCIA</t>
  </si>
  <si>
    <t>actividad evento cierre fin de año suc Armenia 2024 funcionarios</t>
  </si>
  <si>
    <t>Servicio de parqueadero de vehículos</t>
  </si>
  <si>
    <t>Parqueaderos para funcionarios Armenia</t>
  </si>
  <si>
    <t>Se ajustó vr de acuerdo con ppto reportado por RF 19/01/2024</t>
  </si>
  <si>
    <t>AUXILIOS AL PERSONAL</t>
  </si>
  <si>
    <t>AUXILIO APARCADERO</t>
  </si>
  <si>
    <t>Mantenimiento equipos AA suc Armenia Vig 2024</t>
  </si>
  <si>
    <t>BUCARAMANGA</t>
  </si>
  <si>
    <t>Teteras o cafeteras para servicio de comidas</t>
  </si>
  <si>
    <t>CONTRATAR LA ADQUISICION DE UNA CAFETERA O GRECA PARA LA SUCURSAL</t>
  </si>
  <si>
    <t>MARTA ISABEL CARRILLO RAMIREZ</t>
  </si>
  <si>
    <t>Mobiliario de cafetería y comedor</t>
  </si>
  <si>
    <t>CONTRATAR LA INSTALACION Y COMPRA DE GABINETE MUEBLE FLOTANTE DE COCINA</t>
  </si>
  <si>
    <t>REVISADO SI FUE SOLICITADO INCLUIR EN PAA</t>
  </si>
  <si>
    <t>ADQUISICION ACTIVOS FIJOS</t>
  </si>
  <si>
    <t>ADQ. DE ACTIVOS FIJOS NECESIDADES DE SUCURSAL</t>
  </si>
  <si>
    <t>EVENTO CIERRE DE GESTION 2024 SUCURSAL BUCARAMANGA</t>
  </si>
  <si>
    <t>COMPRA POR CAMBIO DE 2 EXINTORES ROJO DE 10 LIBRAS C02</t>
  </si>
  <si>
    <t>Aires acondicionados</t>
  </si>
  <si>
    <t>CONTRATAR LA ADQUISICION E INSTALACION Y PUESTA EN MARCHA DE 5 AIRES ACONDICIONADOS EN LA SUCURSAL</t>
  </si>
  <si>
    <t>ADECUACIONES PARA LA INSTALACIÓN Y PUESTA EN MARCHA DERIVADOS DE LA COMPRA DE AIRES</t>
  </si>
  <si>
    <t>REPARACIONES LOCATIVAS</t>
  </si>
  <si>
    <t>Puertas de cristal</t>
  </si>
  <si>
    <t>MANTENIMINENTO DE PUERTA DE VIDRIO DE CAFETERIA SUCURSAL BUCARAMANGA</t>
  </si>
  <si>
    <t>Servicio de instalación y mantenimiento de
avisos</t>
  </si>
  <si>
    <t>REALIZAR MANTENIMIENTO AVISO</t>
  </si>
  <si>
    <t>Sillas para grupos de trabajo</t>
  </si>
  <si>
    <t>ADQUISICIÓN DE SILLAS FIJAS PARA LA CAFETERIA DE LA SUCURSAL</t>
  </si>
  <si>
    <t>Servicio de alquiler o leasing de fotocopiadoras</t>
  </si>
  <si>
    <t>CONTRATAR EL SERVICIO DE ALQUILER DE LA FOTOCOPIADOR</t>
  </si>
  <si>
    <t>FOTOCOPIAS</t>
  </si>
  <si>
    <t>SERVICIO DE FOTOCOPIADO</t>
  </si>
  <si>
    <t xml:space="preserve">Mantenimiento de sillas de oficina </t>
  </si>
  <si>
    <t>CONTRATAR EL SERVICIO DE MANTENIMIENTO DE LAS SILLAS DE LA SUCURSAL BUCARAMANGA</t>
  </si>
  <si>
    <t>MANTENIMIENTO Y REPARACIONES EQUIPO DE OFICINA</t>
  </si>
  <si>
    <t>EQUIPO DE OFICINA</t>
  </si>
  <si>
    <t>CONTRATAR EL SERVICIO DE MANTENIMIENTO DE LOS AIRES ACONDCIONADOS DE LA SUCURSAL BUCARA</t>
  </si>
  <si>
    <t>CONTRATAR EL SERVICIO DE MANTENIMIENTO Y RECARGA DE EXTINTORES DE LA SUCURSAL</t>
  </si>
  <si>
    <t>BUENAVENTURA</t>
  </si>
  <si>
    <t>Impresión de papelería o formularios comerciales</t>
  </si>
  <si>
    <t xml:space="preserve">Servicio de contratacion de impresión carnet estudiantil </t>
  </si>
  <si>
    <t>EDITH YANETH FLOREZ</t>
  </si>
  <si>
    <t>GASTOS DE EMISION DE SUCURSAL</t>
  </si>
  <si>
    <t>Evento de fin de año 2024 funcionarios</t>
  </si>
  <si>
    <t>GILIANA CANDELO CABEZAS</t>
  </si>
  <si>
    <t>Mantenimiento de puertas de vidrio Suc Bventura</t>
  </si>
  <si>
    <t>Mantenimiento preventido aires acondicionados</t>
  </si>
  <si>
    <t>MANTENIMIENTO TRIMESTRAS 4 EN EL AÑO</t>
  </si>
  <si>
    <t>CALI</t>
  </si>
  <si>
    <t>Mantenimiento general de equipos de oficina</t>
  </si>
  <si>
    <t>Mantenimiento de Modulares oficina</t>
  </si>
  <si>
    <t>CARMEN EUGENIA CHARRIA</t>
  </si>
  <si>
    <t>Televisores</t>
  </si>
  <si>
    <t>Compra de TV  Sala de Juntas</t>
  </si>
  <si>
    <t>Alquiler de Parqueadero.</t>
  </si>
  <si>
    <t xml:space="preserve">Evento Cierre de Gestión Funcionarios </t>
  </si>
  <si>
    <t xml:space="preserve">Mantenimiento de Aires Acondicionados </t>
  </si>
  <si>
    <t>48101909</t>
  </si>
  <si>
    <t xml:space="preserve">Compra de Greca </t>
  </si>
  <si>
    <t>STEVEN GRANDEZ</t>
  </si>
  <si>
    <t>CARTAGENA</t>
  </si>
  <si>
    <t>Contratar servicio de parqueadero para vehiculos de funcionarios.</t>
  </si>
  <si>
    <t>JOISETH DEL CARMEN CANO RANGEL</t>
  </si>
  <si>
    <t xml:space="preserve">Contratar servicio de Mantenimiento de Aires acondicionados </t>
  </si>
  <si>
    <t>Servicio de mantenimiento y reparación de equipos eléctricos</t>
  </si>
  <si>
    <t xml:space="preserve">Contratar servicio de Mantenimiento de Planta Electrica </t>
  </si>
  <si>
    <t>MANTENIMIENTO DE PLANTA ELECTRICA</t>
  </si>
  <si>
    <t>Compra de Grecca para café</t>
  </si>
  <si>
    <t>JUAN CAMILO VILLEGAS</t>
  </si>
  <si>
    <t>CENTRO EMPRESARIAL CORPORATIVO</t>
  </si>
  <si>
    <t>Adquisicion y cambio Televisor 50" por vida util</t>
  </si>
  <si>
    <t>PABLO RUA S. - HENRY BERRIO</t>
  </si>
  <si>
    <t>Adquisicion y cambio de greca por vida util</t>
  </si>
  <si>
    <t>CUCUTA</t>
  </si>
  <si>
    <t>LINA MARCELA LOPEZ BECERRA</t>
  </si>
  <si>
    <t>Evento cierre de gestión 2024 Suc. Cúcuta</t>
  </si>
  <si>
    <t>Horno Microondas</t>
  </si>
  <si>
    <t>Compra Horno Microondas por obsolencia</t>
  </si>
  <si>
    <t>Estufas de calefacción</t>
  </si>
  <si>
    <t>Estufa para empotrar por obsolencia</t>
  </si>
  <si>
    <t>mantenimiento aires acondicionados</t>
  </si>
  <si>
    <t>Servicio de parqueadero funcionarios.</t>
  </si>
  <si>
    <t>Sillas para visitantes</t>
  </si>
  <si>
    <t>3 tandem de silla para visitantes</t>
  </si>
  <si>
    <t>Greca Electrica sencilla</t>
  </si>
  <si>
    <t>mantenimiento y recarga extintores</t>
  </si>
  <si>
    <t>FLORENCIA</t>
  </si>
  <si>
    <t>Mantenimiento preventivo aires acondicionados 2024</t>
  </si>
  <si>
    <t>JOSÉ ALEJANDRO VALENCIA</t>
  </si>
  <si>
    <t>La Suc pasó de 4 a 7 aires</t>
  </si>
  <si>
    <t>Contrato de inspección de riesgos sucursal Florencia.</t>
  </si>
  <si>
    <t>INSPECCIONES DE RIESGOS PARA SUSCRIPCION</t>
  </si>
  <si>
    <t xml:space="preserve">JOSE ALEJANDRO VALENCIA </t>
  </si>
  <si>
    <t>IBAGUE</t>
  </si>
  <si>
    <t>GERMAN MARTINEZ SANCHEZ</t>
  </si>
  <si>
    <t>86131502</t>
  </si>
  <si>
    <t>Pintura del local propio Previsora</t>
  </si>
  <si>
    <t>52141501</t>
  </si>
  <si>
    <t>Neveras para uso doméstico</t>
  </si>
  <si>
    <t>Cambio por deterioro vida útil actual nevera</t>
  </si>
  <si>
    <t>52161505</t>
  </si>
  <si>
    <t>Televisor Samsung de 50"</t>
  </si>
  <si>
    <t>56101706</t>
  </si>
  <si>
    <t>Mesas de conferencia</t>
  </si>
  <si>
    <t>Cambio por deterioro de mesa y sillas</t>
  </si>
  <si>
    <t>56101507</t>
  </si>
  <si>
    <t>Bibliotecas</t>
  </si>
  <si>
    <t>Cambio por deterioro Módulo en Madera y/o Biblioteca Gerencia</t>
  </si>
  <si>
    <t>56101703</t>
  </si>
  <si>
    <t>Escritorios</t>
  </si>
  <si>
    <t>Cambio por deterioro escritorio Gerencia</t>
  </si>
  <si>
    <t>72154066</t>
  </si>
  <si>
    <t xml:space="preserve">Mantenimiento general de equipos de oficina </t>
  </si>
  <si>
    <t>Mantenimiento módulos escritorios funcionarios</t>
  </si>
  <si>
    <t>Día de la familia funcionarios sucursal</t>
  </si>
  <si>
    <t>Se solicita incluir presupuesto para asignación de bonos a traves de Compensar, bienestar a la carta ante la difícultad de proveedor que suministre la documentación requisito</t>
  </si>
  <si>
    <t>No estaba reportada por la sucursal, se incluye de acuerdo con Ppto reportado por RF 19/01/2023</t>
  </si>
  <si>
    <t>MANIZALES</t>
  </si>
  <si>
    <t xml:space="preserve">Arrendamiento de parqueaderos para vehículos de funcionarios de La Previsora S.A. Sucursal Manizales. </t>
  </si>
  <si>
    <t>LUISA MARÍA GIRALDO</t>
  </si>
  <si>
    <t xml:space="preserve">Contratación del servicio de mantenimiento de aires acondicionados y tres extractores de baños ubicados en las oficinas de la sucursal manizales, local 1 ED FORUM. </t>
  </si>
  <si>
    <t>Plazo estimado para la ejecución: 11 meses</t>
  </si>
  <si>
    <t>Prestación de servicios para la organización y ejecución del Evento denominado DÍA DE LA FAMILIA dirigido a los funcionarios de La Previsora S.A. Sucursal Manizales.</t>
  </si>
  <si>
    <t>Presupuesto asignado por Casa Matriz</t>
  </si>
  <si>
    <t>Prestación de servicios para la organización y ejecución del Evento denominado Actividad cierre año dirigido a los funcionarios de La Previsora S.A. Sucursal Manizales</t>
  </si>
  <si>
    <t xml:space="preserve">inspección de los bienes asegurables y/o asegurados y/o a prestar servicios de administración de riesgos y control de pérdidas, de riesgos en curso y/o por suscribir asignados por LA  PREVISORA S.A. </t>
  </si>
  <si>
    <t>Contratación realizada por la oficina de Prevención de Riesgos.</t>
  </si>
  <si>
    <t>Contratación de servicios para el SUMINISTRO DE IMPRESIÓN DE PAPELERÍA PÓLIZA DE VIDA GRUPO EDUCADORES</t>
  </si>
  <si>
    <t>Presupuesto y fecha de ejecucion validado previamente con la COMERCIAL de la sucursal</t>
  </si>
  <si>
    <t>Adquisición de Extintor de Co2 para la oficina</t>
  </si>
  <si>
    <t>Presupuesto asignado por Recursos Fisicos</t>
  </si>
  <si>
    <t>MEDELLIN</t>
  </si>
  <si>
    <t>OSCAR MESA</t>
  </si>
  <si>
    <t>56112103</t>
  </si>
  <si>
    <t>compra  sillas tipo tandem para atencion cliente</t>
  </si>
  <si>
    <t>ANA CRISTINA ARBOLEDA</t>
  </si>
  <si>
    <t>Servicio de pintura comercial</t>
  </si>
  <si>
    <t xml:space="preserve">Adecuacion pintura general de oficina Sucursal Medellin incluye area de  indemnizaciones </t>
  </si>
  <si>
    <t>REVISADO SI FUE SOLICITADO INCLUIR EN PAA
PTO $ 10 MILLONES</t>
  </si>
  <si>
    <t>Servicio de instalación de ventanas y puertas prefabricadas</t>
  </si>
  <si>
    <t xml:space="preserve">Instalacion puerta vidrio templado auditorio </t>
  </si>
  <si>
    <t xml:space="preserve">Mantenimiento Aire Acondicionado </t>
  </si>
  <si>
    <t xml:space="preserve">NO </t>
  </si>
  <si>
    <t>Servicio de mantenimiento o reparación de equipos y sistemas de protección contra incendios</t>
  </si>
  <si>
    <t>Mantenimiento cuartos tecnicos</t>
  </si>
  <si>
    <t>Mantenimiento de sillas de oficina</t>
  </si>
  <si>
    <t xml:space="preserve">Mantenimiento muebles y sillas </t>
  </si>
  <si>
    <t xml:space="preserve">Mantenimiento electrico sucursal </t>
  </si>
  <si>
    <t>Evento cierre de gestion funcionarios</t>
  </si>
  <si>
    <t xml:space="preserve">Mantenimiento sistema biometrico ingreso puertas  , no se ha logrado obtener informacion de las licencias para poder actualizar dicho sistema </t>
  </si>
  <si>
    <t>requiere autorización de la subgerencia recursos fisicos</t>
  </si>
  <si>
    <t xml:space="preserve">Arrendamiento de parqueaderos para vehículos de funcionarios de la sucursal. </t>
  </si>
  <si>
    <t>MOCOA</t>
  </si>
  <si>
    <t>CELEBRACIO DIA DE LA FAMILIA FUNCIONARIOS</t>
  </si>
  <si>
    <t>ANA BELEN GUTIERREZ</t>
  </si>
  <si>
    <t>Mantenimiento aviso y planta electrica</t>
  </si>
  <si>
    <t>CAMBIO AVISO LUMINOSO DE LA SUCURSAL</t>
  </si>
  <si>
    <t>Mantenimiento aires acondicionados de la sucursal</t>
  </si>
  <si>
    <t>MONTERIA</t>
  </si>
  <si>
    <t xml:space="preserve">DIANA CAROLINA CABALLERO </t>
  </si>
  <si>
    <t>Servicio de parqueadero de vehiculo funcionarios.</t>
  </si>
  <si>
    <t>PATRICIA MORALES ESTRELLA</t>
  </si>
  <si>
    <t>Actividad día de la familia funcionarios</t>
  </si>
  <si>
    <t>Actividad cierre de gestión 2024 funcionarios</t>
  </si>
  <si>
    <t>Mantenimiento de aires acondicionados</t>
  </si>
  <si>
    <t>Impresion de papeleria o formularios comerciales (CARNETS ESTUDIANTILES)</t>
  </si>
  <si>
    <t>NEIVA</t>
  </si>
  <si>
    <t xml:space="preserve">Actividad de cierre de gestión fin de año funcionarios  Previsora Neiva. </t>
  </si>
  <si>
    <t>GINA PAOLA OSORIO RODRÍGUEZ 
CELMIRA HERRERA GONZALEZ</t>
  </si>
  <si>
    <t xml:space="preserve">contratación el servicio de mantenimiento de aires acondicionados </t>
  </si>
  <si>
    <t>Contración servicio de mantenimiento planta electrica</t>
  </si>
  <si>
    <t xml:space="preserve">Contratacion del servico de mantemimiento de sillas </t>
  </si>
  <si>
    <t xml:space="preserve">GINA PAOLA OSORIO RODRÍGUEZ </t>
  </si>
  <si>
    <t>PASTO</t>
  </si>
  <si>
    <t>Extractores</t>
  </si>
  <si>
    <t>Intalacion extractor de olores para baños</t>
  </si>
  <si>
    <t>OSCAR IVAN ESTRADA</t>
  </si>
  <si>
    <t>72153605</t>
  </si>
  <si>
    <t>servicio de redomedacion de cocinas y baños</t>
  </si>
  <si>
    <t>cambio e instalacion estufa</t>
  </si>
  <si>
    <t>REVISADO SI FUE SOLICITADO INCLUIR EN PAA
PPTO $ 600 MIL</t>
  </si>
  <si>
    <t>Cambio aviso entrada principal</t>
  </si>
  <si>
    <t>Dia de la familia Funcionarios 2024</t>
  </si>
  <si>
    <t>Mantenimiento planta electrica</t>
  </si>
  <si>
    <t>Mantenimiento aire acondicionado RDA</t>
  </si>
  <si>
    <t>PEREIRA</t>
  </si>
  <si>
    <t>Parqueadero funcionarios convencionados.</t>
  </si>
  <si>
    <t>JOSE ELIAS OVIEDO</t>
  </si>
  <si>
    <t>Actividad celeboracion dia de la familia funcionarios</t>
  </si>
  <si>
    <t>actividad evento cierre fin de año funcionarios.</t>
  </si>
  <si>
    <t>mantenimiento equipos Aire Acondicionado</t>
  </si>
  <si>
    <t>NIRAY MAURICIO OCAMPO</t>
  </si>
  <si>
    <t>POPAYAN</t>
  </si>
  <si>
    <t>Impresión Variable Duplex (Frente y respaldo) de carnets tamaño 8.5 X 5.5 CM, Tipo PVC</t>
  </si>
  <si>
    <t>NORMA CRISTINA GONZALEZ MUÑOZ</t>
  </si>
  <si>
    <t>emision de polizas</t>
  </si>
  <si>
    <t>Realizar dos mantenimientos de Aire acondicionado Mini Split</t>
  </si>
  <si>
    <t>El mantenimiento del aire acondicionado y lamparas luminarias se realizan en un solo contrato</t>
  </si>
  <si>
    <t>Servicio de mantenimiento o reparación de sistemas de iluminación</t>
  </si>
  <si>
    <t>mantenimiento correctivo de luminarias led 60*60 ubicadas en toda la oficina donde funciona LA PREVISORA SEGUROS S.A.</t>
  </si>
  <si>
    <t>Fotocopiado</t>
  </si>
  <si>
    <t xml:space="preserve">SUMINISTRO DE FOTOCOPIAS PARA LICITACIONES </t>
  </si>
  <si>
    <t>GERMAN PARRA</t>
  </si>
  <si>
    <t xml:space="preserve">FOTOCOPIADO </t>
  </si>
  <si>
    <t>QUIBDÓ</t>
  </si>
  <si>
    <t>HELEN FLACO</t>
  </si>
  <si>
    <t>CELEBRACION FIN DE AÑO FUNCIONARIOS 2024</t>
  </si>
  <si>
    <t>NATALIA MARIA MARIN VELEZ</t>
  </si>
  <si>
    <t xml:space="preserve">Presupuesto asignado por el área de Recursos Humanos al final del año para la reunión de cierre de actividades con los funcionarios de la sucursal </t>
  </si>
  <si>
    <t xml:space="preserve">Mantenimiento preventivo aires acondicionados </t>
  </si>
  <si>
    <t xml:space="preserve">Se requiere contrato para el mantenimiento preventivo o correctivo de los aires acondicionados de la Sucursal, en total son 5 para realizar mantemientos trimestrales (4 veces en el año)  y 1 correspondiente al Rack, de manera mensual (12 veces en el año) </t>
  </si>
  <si>
    <t>Mantenientos preventivos de la planta electrica.</t>
  </si>
  <si>
    <t xml:space="preserve">Se requiere contrato para el mantenimiento preventivo o correctivo de la plata electrica de la Sucursal para realizarse de manera trimestral (4 veces en el año) </t>
  </si>
  <si>
    <t>Alquiler de oficina 204, espacio donde opera el archivo y la sala de juntas de la Sucursal</t>
  </si>
  <si>
    <t>Se requiere alquilar la oficina 204, la cual es aledaña a las oficinas de propiedad de la Compañía, desde hace 17 años se tiene contrato con la misma ya que en ella opera el archivo y la sala de juntas de la Sucursal</t>
  </si>
  <si>
    <t xml:space="preserve">Mantenimientos correctivos por daños presentados en la oficina </t>
  </si>
  <si>
    <t xml:space="preserve">Se deja este rubro para los mantenimientos correctivos que se deban realiza rpor daños presentados en los elementos de la oficina </t>
  </si>
  <si>
    <t>RIOHACHA</t>
  </si>
  <si>
    <t>pintura en general de la oficina</t>
  </si>
  <si>
    <t>JANER MENDEZ</t>
  </si>
  <si>
    <t>REVISADO SI FUE SOLICITADO INCLUIR EN PAA
PTO $ 3,094 MILLONES</t>
  </si>
  <si>
    <t>contratar espacio para celebrar el dia de la familia</t>
  </si>
  <si>
    <t>contratar espacio para celebrar la integracion de fin de año de los funcionarios</t>
  </si>
  <si>
    <t>contratar espacio para la integracion de fin de año</t>
  </si>
  <si>
    <t xml:space="preserve">contratar servicio de mantenimientos preventivos para la planta electrica </t>
  </si>
  <si>
    <t>janer mendez</t>
  </si>
  <si>
    <t>contratar servicio de mantenimientos preventivos para la planta electrica el cual se realiza dos veces al año</t>
  </si>
  <si>
    <t>compra de greca</t>
  </si>
  <si>
    <t>cambio por fallas en la actual</t>
  </si>
  <si>
    <t>SINCELEJO</t>
  </si>
  <si>
    <t>CELEBRACION FIN DE AÑO FUNCIONARIOS</t>
  </si>
  <si>
    <t>JUAN CARLOS BEJARANO URIBE</t>
  </si>
  <si>
    <t>YOPAL</t>
  </si>
  <si>
    <t>Manteimiento de dos avisos exteriores de Sucursal Yopal</t>
  </si>
  <si>
    <t>MIGUEL ANGEL BECERRA PAEZ</t>
  </si>
  <si>
    <t>Actividad de cierre de año 2024 dirigido a funcionarios de la sucursal Yopal</t>
  </si>
  <si>
    <t>Realizar mantenimiento preventivo o correctivo con suministro de repuestos  de los aires acondicionados de la sucursal Yopal, con una periodicidad trimestral.</t>
  </si>
  <si>
    <t>TUNJA</t>
  </si>
  <si>
    <t>Adquisición TV para proyectar en reuniones grupos pequeños a realizar en instalaciones de la Sucursal</t>
  </si>
  <si>
    <t>MARIA LEONOR MONTOYA AVELLA</t>
  </si>
  <si>
    <t>Evento Cierre fin de año 2024 funcionarios sucursal</t>
  </si>
  <si>
    <t>Mantenimiento aire acondicionado cuarto del servidor de tecnología</t>
  </si>
  <si>
    <t>76111505</t>
  </si>
  <si>
    <t>Servicios de limpieza de telas y muebles</t>
  </si>
  <si>
    <t>Mantenimiento muebles y enseres</t>
  </si>
  <si>
    <t>78102203</t>
  </si>
  <si>
    <t>Servicios de envío, recogida o entrega de correo</t>
  </si>
  <si>
    <t>Servicio correo físico con destino a aliados y asegurados</t>
  </si>
  <si>
    <t>OTROS GASTOS DE SERVICIO DE CORREO</t>
  </si>
  <si>
    <t>Contrato inspección de riesgos a asegurar</t>
  </si>
  <si>
    <t>Evento cierre 2024 agentes y agencias</t>
  </si>
  <si>
    <t>VILLAVICENCIO</t>
  </si>
  <si>
    <t>ANGELA JIMENA GUERRERO</t>
  </si>
  <si>
    <t>autorizacion subgerencia de gestion humana</t>
  </si>
  <si>
    <t>dia de la familia funcionarios</t>
  </si>
  <si>
    <t>sillas tadem (de 3 o 4 puestos)</t>
  </si>
  <si>
    <t>compra de mesa banquera para la cocina con sillas</t>
  </si>
  <si>
    <t>mantenimiento de escritorios</t>
  </si>
  <si>
    <t>cambio de luminarias oficina a tipo led</t>
  </si>
  <si>
    <t>72102900</t>
  </si>
  <si>
    <t>Servicios de mantenimiento y reparaciones de construcciones e instalaciones</t>
  </si>
  <si>
    <t xml:space="preserve">mantenimiento puntos de red </t>
  </si>
  <si>
    <t>Limpiadores de pisos</t>
  </si>
  <si>
    <t>compra de extintor</t>
  </si>
  <si>
    <t>MARIA IVED VERGARA</t>
  </si>
  <si>
    <t>VIRTUAL BARRANQUILLA</t>
  </si>
  <si>
    <t>Contratar servicio de impresión de Carnets</t>
  </si>
  <si>
    <t>SANDRA PATIÑO</t>
  </si>
  <si>
    <t>MARTHA CARRILLO</t>
  </si>
  <si>
    <t>Se incluye según solicitud de RF. Ya cuenta con CDP</t>
  </si>
  <si>
    <t>Total</t>
  </si>
  <si>
    <t>PLAN INTEGRADO DE ACCIÓN ANUAL 2024 - PLAN ESTRATÉGICO DE TALENTO HUMANO</t>
  </si>
  <si>
    <t>TOTAL CUMPLIMIENTO I SEMESTRE</t>
  </si>
  <si>
    <t>TOTAL CUMPLIMIENTO II SEMESTRE</t>
  </si>
  <si>
    <t>Cumplimiento del Plan Anual de Seguridad y Salud en el Trabajo. 
Nota: Estas actividades las debe definir la Gerencia de Talento Humano en el despliegue de este plan e informar a Ger. Innovación y Procesos
(Ir Hoja 08. PSST)</t>
  </si>
  <si>
    <t>Cumplimiento del plan definido para alcanzar el 100% del alcance.</t>
  </si>
  <si>
    <t>RECURSOS HUMANOS
RECURSOS FINANCIEROS
RECURSOS TECNOLÓGICOS</t>
  </si>
  <si>
    <t xml:space="preserve">Se registra seguimiento al Plan Anual de Seguridad y Salud en el Trabajo para el I Trimestre. </t>
  </si>
  <si>
    <t>Cumplimiento del Plan de incentivos institucionales</t>
  </si>
  <si>
    <t>Conjunto de actividades definidas en el Plan de incentivos 2024</t>
  </si>
  <si>
    <t>Presupuesto definido para el rubro de Premios Concursos Internos</t>
  </si>
  <si>
    <t>Gestión del Alto Desempeño</t>
  </si>
  <si>
    <t>Cumplimiento de las etapas del proceso de evaluación del desempeño 2024</t>
  </si>
  <si>
    <t>Presupuesto definido para el Rubro de Selección de Personal</t>
  </si>
  <si>
    <t>Cumplimiento del Plan Institucional de Capacitación</t>
  </si>
  <si>
    <t>Actividades ejecutadas del Plan de Capacitación/Actividades planeadas en el Plan de Capacitación)x100</t>
  </si>
  <si>
    <t>Presupuesto  definido para el rubro de Capacitación de personal y Congresos, foros, seminarios</t>
  </si>
  <si>
    <t>PLAN INTEGRADO DE ACCIÓN ANUAL 2024 - PLAN INSTITUCIONAL DE CAPACITACIÓN</t>
  </si>
  <si>
    <t>FACULTAD</t>
  </si>
  <si>
    <t>PROGRAMA</t>
  </si>
  <si>
    <t>OBJETIVO PIC</t>
  </si>
  <si>
    <t>FORMADOR</t>
  </si>
  <si>
    <t>MODALIDAD</t>
  </si>
  <si>
    <t>TIPO</t>
  </si>
  <si>
    <t>POBLACIÓN A IMPACTAR</t>
  </si>
  <si>
    <t>DURACIÓN (HRS)</t>
  </si>
  <si>
    <t># FUNCIONARIOS</t>
  </si>
  <si>
    <t xml:space="preserve">ENERO </t>
  </si>
  <si>
    <t>(PREPARACIÓN ACADEMICA)</t>
  </si>
  <si>
    <t>(EJECUCIÓN ACADEMICA)</t>
  </si>
  <si>
    <t xml:space="preserve">PLAN SECTORIAL </t>
  </si>
  <si>
    <t>CAPACIDADES PARA EL DESEMPEÑO</t>
  </si>
  <si>
    <t>INNOVACIÓN</t>
  </si>
  <si>
    <t xml:space="preserve">Desarrollar las competencias y habilidades de los funcionarios para crear y mejorar productos y servicios, promover la eficiencia de la compañía y consolidar los factores de competitividad </t>
  </si>
  <si>
    <t>MIXTO</t>
  </si>
  <si>
    <t>VOLUNTARIO</t>
  </si>
  <si>
    <t>Funcionarios de Planta de acuerdo con las necesidades de las áreas</t>
  </si>
  <si>
    <t xml:space="preserve">De acuerdo con la cantidad de contenidos que se definan </t>
  </si>
  <si>
    <t>Presupuesto definido para el rubro de Capacitación y de acuerdo al programa y población final</t>
  </si>
  <si>
    <t>Presupuesto  autorizado para el rubro de Capacitación de personal y congresos, foros, seminarios y similares</t>
  </si>
  <si>
    <t>Semestral</t>
  </si>
  <si>
    <t xml:space="preserve">Enero </t>
  </si>
  <si>
    <t>Diciembre</t>
  </si>
  <si>
    <t>CAPACIDADES HUMANAS</t>
  </si>
  <si>
    <t>EXPERIENCIAL DEL CLIENTE</t>
  </si>
  <si>
    <t>Desarrollar conocimientos que permitan crear valor de manera apropiada, diferencial y continua para los clientes objetivo de Previsora</t>
  </si>
  <si>
    <t>TRANSFORMACIÓN DIGITAL</t>
  </si>
  <si>
    <t>Desarrollar las competencias y habilidades digitales de los funcionarios para crear y mejorar productos y servicios</t>
  </si>
  <si>
    <t>CAPACIDADES MEDULARES</t>
  </si>
  <si>
    <t>CURSOS NORMATIVOS</t>
  </si>
  <si>
    <t xml:space="preserve">Fortalecer los conocimientos de la organización a través de los Cursos Normativos </t>
  </si>
  <si>
    <t>OBLIGATORIO</t>
  </si>
  <si>
    <t>Funcionarios de Planta</t>
  </si>
  <si>
    <t>Presupuesto definido para el rubro de Capacitación y de acuerdo al programa final</t>
  </si>
  <si>
    <t>ANÁLITICA DE DATOS</t>
  </si>
  <si>
    <t>Fortalecer los conocimientos para la toma de decisiones apalancadas en un modelo de analítica de datos que trasciendan a toda la organización.</t>
  </si>
  <si>
    <t>CULTURA ORGANIZACIONAL</t>
  </si>
  <si>
    <t>Integrar y potenciar las capacidades de la organización, competencias y valores del equipo humano requeridas para ser una organización colaborativa y flexible que cumple su misión</t>
  </si>
  <si>
    <t>FORMACIÓN INTERNA EN PROCESOS DE LA COMPAÑÍA</t>
  </si>
  <si>
    <t xml:space="preserve">Brindar y gestionar capacitaciones adicionales producto de cambios en los procesos o información de interes que se requiera difundir por las áreas. </t>
  </si>
  <si>
    <t>FORMACIÓN EXTERNA PARA ACTUALIZACIÓN DE CONOCIMIENTOS RELACIONADOS CON LOS PROCESOS DE LA COMPAÑÍA</t>
  </si>
  <si>
    <t>Actualizar conocimientos y adquirir nuevas destrezas y habilidades que permitan una mejor adaptación al cambio y un desempeño eficiente en el entorno laboral.</t>
  </si>
  <si>
    <t>PROVEEDOR</t>
  </si>
  <si>
    <t>Presupuesto definido para el rubro de Capacitación Congresos Foros y Seminarios y de acuerdo al programa y población final</t>
  </si>
  <si>
    <t>PLAN INTEGRADO DE ACCIÓN ANUAL 2024 - PLAN DE INCENTIVOS INSTITUCIONALES</t>
  </si>
  <si>
    <t>CATEGORIA</t>
  </si>
  <si>
    <t>NOMBRE DE LA ACTIVIDAD</t>
  </si>
  <si>
    <t>DESCRIPCION DE LA ACTIVIDAD</t>
  </si>
  <si>
    <t>ÁREA LÍDER</t>
  </si>
  <si>
    <t>PREMIO</t>
  </si>
  <si>
    <t>INDIVIDUAL</t>
  </si>
  <si>
    <t>COLECTIVO</t>
  </si>
  <si>
    <t>MES DE EJECUCIÓN</t>
  </si>
  <si>
    <t>MES DE PREMIACIÓN</t>
  </si>
  <si>
    <t>CRITERIOS DE EVALUACIÓN</t>
  </si>
  <si>
    <t>SEGUIMIENTO I SEMESTRE</t>
  </si>
  <si>
    <t>SEGUIMIENTO II SEMESTRE</t>
  </si>
  <si>
    <t>GESTION DEL DESEMPEÑO</t>
  </si>
  <si>
    <t>Reconocimiento Evaluación de Desempeño</t>
  </si>
  <si>
    <t>Se reconocerá el desempeño eficiente y sobresaliente por la calificación de evaluación de desempeño recibida durante el año inmediatamente anterior a 40 colaboradores que en su evaluación obtengan un puntaje superior al 95% y que hayan cumplido al 100% con su oferta de formación.</t>
  </si>
  <si>
    <t>GERENCIA DE TALENTO HUMANO - SUBGERENCIA DE DESARROLLO DE TALENTO HUMANO</t>
  </si>
  <si>
    <t>BONOS</t>
  </si>
  <si>
    <t>X</t>
  </si>
  <si>
    <t>Mayo de 2024</t>
  </si>
  <si>
    <t>Julio de 2024</t>
  </si>
  <si>
    <t>40 funcionarios destacados en la evaluación de desempeño del año anterior y según la distribución de cupos de cada Vicepresidencia</t>
  </si>
  <si>
    <t>DESARROLLO Y CULTURA</t>
  </si>
  <si>
    <t>Programa de fortalecimiento de la Cultura Resiliente</t>
  </si>
  <si>
    <t>Consta de una serie de actividades que buscan fortalecer la apropiación del programa de cultura resiliente.</t>
  </si>
  <si>
    <t>BONOS Y PUNTOS</t>
  </si>
  <si>
    <t>Marzo - Noviembre</t>
  </si>
  <si>
    <t>Noviembre</t>
  </si>
  <si>
    <t>Participación y cumplimiento en las actividades de cultura planteadas</t>
  </si>
  <si>
    <t>#SER EXPERIENCIA</t>
  </si>
  <si>
    <t>Satisfacción cliente</t>
  </si>
  <si>
    <t>Premiación áreas con resultados destacados en la encuesta cliente interno y final.</t>
  </si>
  <si>
    <t>Junio - Diciembre</t>
  </si>
  <si>
    <t>Mayo de 2025</t>
  </si>
  <si>
    <t>"Se premiarán a las 4 áreas de casa matriz que obtengan los mejores puntajes en la encuesta de cliente interno.
Se premiarán a las 4 sucursales que obtengan los mejores puntajes en la encuesta de cliente final."</t>
  </si>
  <si>
    <t>TRANSFORMACIÓN DIGITAL E INNOVACIÓN</t>
  </si>
  <si>
    <t>Semana de la Creatividad y la Innovación</t>
  </si>
  <si>
    <t>En esta semana confluyen actividades basadas en las directrices estratégicas de #innovaciónaplicada, #aunclic, #clientecentrico, #agilidad empresarial con la participación de actores internos y externos, juegos, concursos, webinars, entre otros.</t>
  </si>
  <si>
    <t>GERENCIA DE INNOVACIÓN</t>
  </si>
  <si>
    <t>Se premiará a las áreas y personas que participen en las actividades desarrolladas para el fortalecimiento de la capacidad de innovación</t>
  </si>
  <si>
    <t>NUESTRA ESTRATEGIA</t>
  </si>
  <si>
    <t>Estrategia Corporativa</t>
  </si>
  <si>
    <t>Consta de una serie de actividades que buscan fortalecer la apropiación dde la estrategia corporativa</t>
  </si>
  <si>
    <t>Participación y cumplimiento en las actividades cuyo objetivo es el conocimiento y apropiación de la estrategia</t>
  </si>
  <si>
    <t>PARTICIPACIÓN EN EVENTOS DEPORTIVOS</t>
  </si>
  <si>
    <t>Participación en eventos deportivos</t>
  </si>
  <si>
    <t>Realizar una actividad  de cierre en el mes de noviembre para todos los deportistas que participen en las diferentes disciplinas de entidades externas en nombre de la Compañía.</t>
  </si>
  <si>
    <t>SUBGERENCIA DE ADMINISTRACIÓN DE PERSONAL</t>
  </si>
  <si>
    <t>Febrero a diciembre</t>
  </si>
  <si>
    <t xml:space="preserve">Diciembre </t>
  </si>
  <si>
    <t>Se premiaran a los colaboradores que participen en los  eventos deportivos en representación de la compañía.</t>
  </si>
  <si>
    <t>PLAN INTEGRADO DE ACCIÓN ANUAL 2024 - PLAN ANUAL DE SEGURIDAD Y SALUD EN EL TRABAJO</t>
  </si>
  <si>
    <t>OBJETIVO DEL SG-SST</t>
  </si>
  <si>
    <t>ESTANDAR</t>
  </si>
  <si>
    <t>PROGRAMA O TEMA RELACIONADO</t>
  </si>
  <si>
    <t>ACTIVIDAD</t>
  </si>
  <si>
    <t>RESPONABLE</t>
  </si>
  <si>
    <t>FRECUENCIA</t>
  </si>
  <si>
    <t>Cumplir la normatividad nacional vigente aplicable en materia de riesgos laborales.</t>
  </si>
  <si>
    <t>Cumplir el plan de trabajo de SST
Ver despliegue estratégico y matriz de indicadores SST</t>
  </si>
  <si>
    <t xml:space="preserve">E1 RECURSOS </t>
  </si>
  <si>
    <t>RESPONSABILIDADES</t>
  </si>
  <si>
    <t>Divulgar las responsabilidades en SST a todos los niveles</t>
  </si>
  <si>
    <t>Responsable del SGSST</t>
  </si>
  <si>
    <t>ANUAL</t>
  </si>
  <si>
    <t>RECURSOS HUMANOS
RECURSOS TECNOLOGICOS
RECURSOS FINANCIEROS</t>
  </si>
  <si>
    <t>PRESUPUESTO</t>
  </si>
  <si>
    <t>Realizar seguimiento al presupuesto</t>
  </si>
  <si>
    <t>SEGURIDAD SOCIAL</t>
  </si>
  <si>
    <t>Solicitar a revisoría fiscal certificación de pago de aportes de SS</t>
  </si>
  <si>
    <t>COPASST</t>
  </si>
  <si>
    <t>Acompañamiento a reuniones mensuales</t>
  </si>
  <si>
    <t>Se realiza acompañamiento a las reuniones del COPASST</t>
  </si>
  <si>
    <t>Capacitaciones a integrantes del comité</t>
  </si>
  <si>
    <t>VER CRONOGRAMA DE CHARLAS Y CAPACITACIONES</t>
  </si>
  <si>
    <t>Se realiza charla en identificación de actos y condiciones inseguras</t>
  </si>
  <si>
    <t xml:space="preserve">COMITÉ DE CONVIVENCIA LABORAL </t>
  </si>
  <si>
    <t>Solicitar actas de reunión e informes de gestión</t>
  </si>
  <si>
    <t>Se realiza seguimiento a cumplimiento de reuniones</t>
  </si>
  <si>
    <t>CAPACITACION Y COMUNICACIONES</t>
  </si>
  <si>
    <t>Ver plan de capacitación y comunicaciones</t>
  </si>
  <si>
    <t>Se realiza charla en cuidado auditivo y visual y resiliencia en el ambito laboral</t>
  </si>
  <si>
    <t>Conservar evidencias de inducciones en SST</t>
  </si>
  <si>
    <t>Se realiza seguimiento a inducciones</t>
  </si>
  <si>
    <t>Asegurar que se identifican los requisitos aplicables y se cumplen
Ver despliegue estratégico y matriz de indicadores SST</t>
  </si>
  <si>
    <t xml:space="preserve">E2 GESTION INTEGRAL DEL SG-SST </t>
  </si>
  <si>
    <t xml:space="preserve">POLITICA Y OBJETIVOS DEL SG SST </t>
  </si>
  <si>
    <t>Divulgar la Política y objetivos del SG</t>
  </si>
  <si>
    <t>EVALUACION DEL SG</t>
  </si>
  <si>
    <t>Reportar evaluación de estándares mínimos del SG SST ante el Ministerio de Trabajo y la ARL</t>
  </si>
  <si>
    <t>DOCUMENTACION</t>
  </si>
  <si>
    <t>Realizar actualización de los documentos y registros del SG</t>
  </si>
  <si>
    <t>RENDICION DE CUENTAS</t>
  </si>
  <si>
    <t xml:space="preserve">Realizar rendición de cuentas sobre el desempeño de los trabajadores en SST </t>
  </si>
  <si>
    <t xml:space="preserve">NORMATIVIDAD VIGENTE EN SST </t>
  </si>
  <si>
    <t>Actualización de la Matriz Legal en SST</t>
  </si>
  <si>
    <t>Evaluación de cumplimiento legal</t>
  </si>
  <si>
    <t>CONRATISTAS</t>
  </si>
  <si>
    <t>Socialización de las responsabilidades en SST a los Supervisores de Contrato de Previsora</t>
  </si>
  <si>
    <t>Reuniones de seguimiento al  cumplimiento de SST por parte de los Proveedores  clase de riesgo IV y V</t>
  </si>
  <si>
    <t>Se programa según requerimiento</t>
  </si>
  <si>
    <t>Por ahora no se presentan novedades</t>
  </si>
  <si>
    <t>Inducción a proveedores nuevos</t>
  </si>
  <si>
    <t>GESTION DE CAMBIO</t>
  </si>
  <si>
    <t>Realizar seguimiento al reporte de los cambios presentados</t>
  </si>
  <si>
    <t>31/09/2024</t>
  </si>
  <si>
    <t>Prevenir la ocurrencia de accidentes y enfermedades laborales</t>
  </si>
  <si>
    <t>Alcanzar los resultados de AT y EL propuestos
 Ver despliegue estratégico y matriz de indicadores de SST</t>
  </si>
  <si>
    <t xml:space="preserve">E3 GESTIÓN DE LA SALUD </t>
  </si>
  <si>
    <t xml:space="preserve">PROGRAMA DE VIGILANCIA EPIDEMIOLOGICA OSTEOMUSCULAR </t>
  </si>
  <si>
    <t>Seguimiento a prueba tamiz y morbilidad sentida</t>
  </si>
  <si>
    <t xml:space="preserve">Consolidación de información de condiciones medicas osteomusculares de los funcionarios de acuerdo a los exámenes y calificaciones </t>
  </si>
  <si>
    <t>Intervención a funcionarios que manifiesten sintomatología osteomuscular en casa u oficina, inspección a su puesto de trabajo con fisioterapeuta.</t>
  </si>
  <si>
    <t>Escuelas de manejo del dolor (Espalda, MMSS, MMII)</t>
  </si>
  <si>
    <t xml:space="preserve">Entrega de elementos de confort Casa Matriz y Sucursales </t>
  </si>
  <si>
    <t xml:space="preserve">Campañas de Prevención de Riesgo Biomecánico, PAUSAS ACTIVAS </t>
  </si>
  <si>
    <t>Se realizan pausas a nivel nacional en diferentes tipologias</t>
  </si>
  <si>
    <t xml:space="preserve">PROGRAMA DE VIGILANCIA EPIDEMIOLOGICA PSICOSOCIAL </t>
  </si>
  <si>
    <t>Aplicación bateria de riesgo psicosocial</t>
  </si>
  <si>
    <t>Intervención a funcionarios acorde a plan de accion del PVE psicosocial</t>
  </si>
  <si>
    <t>Se realizan intervenciones individuales</t>
  </si>
  <si>
    <t>Escuela manejo de estrés, ansiedad, depresión, emociones</t>
  </si>
  <si>
    <t>Se realizan intervenciones</t>
  </si>
  <si>
    <t xml:space="preserve">TELETRABAJO </t>
  </si>
  <si>
    <t>Implementación y seguimiento teletrabajo Evaluaciones de puestos de trabajo por cambio de domicilio</t>
  </si>
  <si>
    <t>Se realizan a necesidad</t>
  </si>
  <si>
    <t xml:space="preserve">PYP. PROGRAMA ESTILOS DE VIDA SALUDABLE </t>
  </si>
  <si>
    <t xml:space="preserve">Diseño de la política para la intervención y prevención de Alcohol, tabaquismo y sustancias psicoactivas </t>
  </si>
  <si>
    <t>Desarrollo de actividades de intervención (Alcoholismo, Fármaco dependencia, Tabaquismo, hábitos alimenticios, de sueño, actividad física)</t>
  </si>
  <si>
    <t>Se realizan campañas de prevención</t>
  </si>
  <si>
    <t>Desarrollo Mes vida saludable a nivel nacional</t>
  </si>
  <si>
    <t xml:space="preserve">PERFIL SOCIODEMOGRAFICO </t>
  </si>
  <si>
    <t xml:space="preserve">Actualización de los datos para el Perfil Sociodemográfico </t>
  </si>
  <si>
    <t xml:space="preserve">EVALUACIONES MEDICAS OCUPACIONALES </t>
  </si>
  <si>
    <t>Gestionar casos de presunta enfermedad laboral o común que requiera manejo y seguimiento específico.</t>
  </si>
  <si>
    <t>Se gestionan a necesidad</t>
  </si>
  <si>
    <t>Revisión de la realización de exámenes Post Incapacidad</t>
  </si>
  <si>
    <t xml:space="preserve">MECANISMOS DE VIGILANCIA DE CONDICIONES DE SALUD </t>
  </si>
  <si>
    <t>Caracterización del ausentismo</t>
  </si>
  <si>
    <t>Se documentan para el copasst</t>
  </si>
  <si>
    <t>Actualizar estadística y seguimiento de EL y AT</t>
  </si>
  <si>
    <t>Documentadas</t>
  </si>
  <si>
    <t>REPORTE E INVESTIGACION AT/EL</t>
  </si>
  <si>
    <t>Acompañar las investigaciones junto con el equipo investigador cada vez que  se presente un evento AT/EL (hacer seguimiento)</t>
  </si>
  <si>
    <t>Permanente</t>
  </si>
  <si>
    <t>Se realiza investigacionde 1 AT</t>
  </si>
  <si>
    <t>Realizar seguimiento a la ejecución de  los planes de acción de las no conformidades derivadas por AT/EL</t>
  </si>
  <si>
    <t>Asegurar la identificación, evaluación e intervención de los diferentes factores de riesgos y peligros significativos para la salud de los trabajadores.</t>
  </si>
  <si>
    <t>Medir y controlar los riesgos y realizar las inspecciones planeadas
Ver despliegue estratégico</t>
  </si>
  <si>
    <t xml:space="preserve">E4 GESTION DE LOS PELIGROS Y RIESGOS </t>
  </si>
  <si>
    <t xml:space="preserve">IPEVR - MATRICES DE PELIGROS </t>
  </si>
  <si>
    <t>Actualizar las matrices de peligros, valoración y evaluación de riesgos</t>
  </si>
  <si>
    <t>MEDICIONES HIGIENICAS</t>
  </si>
  <si>
    <t>Verificar la implementación de mediciones higienicas derivadas de la identificacion de peligros y valoración de riegos</t>
  </si>
  <si>
    <t xml:space="preserve">INSPECCIONES DE SEGURIDAD </t>
  </si>
  <si>
    <t>Realizar seguimiento a inspecciones planeadas según Cronograma de inspecciones de Seguridad</t>
  </si>
  <si>
    <t>Se realiza seguimiento a hallazgos de inspecciones</t>
  </si>
  <si>
    <t>AUTOREPORTE</t>
  </si>
  <si>
    <t xml:space="preserve">Seguimiento de las situaciones reportadas a través del correo de seguridad y salud en el trabajo  Auto reporte de Actos y Condiciones Inseguras </t>
  </si>
  <si>
    <t>Se socializan en el COPASST</t>
  </si>
  <si>
    <t>PREVENCION AT</t>
  </si>
  <si>
    <t>Ejecutar las actividades de prevención de lesiones deportivas y caídas a nivel</t>
  </si>
  <si>
    <t>Formular los planes de emergencia y probarlos
Ver matriz de indicadores de SST</t>
  </si>
  <si>
    <t>E5 GESTION DE AMENAZAS</t>
  </si>
  <si>
    <t>PLAN DE EMERGENCIAS</t>
  </si>
  <si>
    <t>Actualización y divulgación de planes emergencias incluyendo planos, elementos de seguridad y brigadas</t>
  </si>
  <si>
    <t>Desarrollo de simulacros de emergencia</t>
  </si>
  <si>
    <t>Implementar acciones de mejora eficaces en los procesos que minimicen la recurrencia de errores.</t>
  </si>
  <si>
    <t>Realizar seguimiento y verificación del SST 
Ver matriz de indicadores de SST</t>
  </si>
  <si>
    <t>E6 VERIFICACION DEL SG SST</t>
  </si>
  <si>
    <t>INDICADORES</t>
  </si>
  <si>
    <t>Calcular indicadores de SST y reportar al BSC</t>
  </si>
  <si>
    <t>Mensualmente se reportan y se hacen cambios de acuerdo a la dinamica del comportamieno</t>
  </si>
  <si>
    <t>Realizar seguimiento del plan SST/indicadores por parte de la Subgerencia</t>
  </si>
  <si>
    <t>Se realiza presnetación y revisión</t>
  </si>
  <si>
    <t>REVISION POR LA DIRECCION</t>
  </si>
  <si>
    <t>Realizar Revisión por la dirección del SG SST</t>
  </si>
  <si>
    <t>AUDITORIA</t>
  </si>
  <si>
    <t>Realizar planificación de la auditoria al SGSST con el COPASST</t>
  </si>
  <si>
    <t xml:space="preserve">Socializar al COPASST el plan de auditoria definitivo </t>
  </si>
  <si>
    <t>Atender auditoria del SGSST</t>
  </si>
  <si>
    <t>PLAN INTEGRADO DE ACCIÓN ANUAL 2024 - PLAN ANTICORRUPCIÓN Y DE ATENCIÓN AL CIUDADANO</t>
  </si>
  <si>
    <t>Actividad del Plan No.</t>
  </si>
  <si>
    <t>COMPONENTE</t>
  </si>
  <si>
    <t>ACTIVIDAD CUATRIENAL</t>
  </si>
  <si>
    <t>ENTREGABLE</t>
  </si>
  <si>
    <t>SEGUIMIENTO II CUARIMESTRE</t>
  </si>
  <si>
    <t>1. GESTIÓN DE RIESGOS DE CORRUPCIÓN</t>
  </si>
  <si>
    <t>PRIMER COMPONENTE: Gestión de Riesgos de Corrupción</t>
  </si>
  <si>
    <t>Realizar la revisión de 5 procesos misionales donde se tengan identificados riesgos de corrupción, con el fin de realizar la actualización de los mismos.</t>
  </si>
  <si>
    <t>Mapa Actualizado y publicado en página Web, según el número de procesos definidos.</t>
  </si>
  <si>
    <t>HUMANOS, TECNOLÓGICOS, FÍSICOS Y FINANCIEROS</t>
  </si>
  <si>
    <t>Desde la gerencia de riesgos se elaboró el cronograma para la revisión de riesgos en conjunto con los dueños de los procesos seleccionados</t>
  </si>
  <si>
    <t>Fortalecer la cultura de gestión de riesgos de corrupción en la Compañía a traves del envió de manera cuatrimestral  de comunicados alusivos al tema.</t>
  </si>
  <si>
    <t>Correo de comunicado publicado.</t>
  </si>
  <si>
    <t>Se adjunta evidencia de sensibilización de prevención de fraude realizado en el cuatrimestre y mensajes difundidos a través de comunicaciones corporativas
https://laprevisora.sharepoint.com/:b:/s/GerenciadeInnovacinyProcesos-SubgerenciadeMejoramientoyProcesos/EYs_7ahW6uFIsNFZ_AToG0kBDCV2Vh5JDDqsPC_LpuVy8A?e=SocZ8S</t>
  </si>
  <si>
    <t>Gestionar los casos reportados mediante los canales de denuncia</t>
  </si>
  <si>
    <t>Relación de casos gestionados</t>
  </si>
  <si>
    <t>Se adjunta relación de casos de linea ética reportados entre los meses de Enero - Abril 2024
https://laprevisora.sharepoint.com/:b:/s/GerenciadeInnovacinyProcesos-SubgerenciadeMejoramientoyProcesos/Eb1pkOl0QGBAh1CxVO8WiE0BBipAoKGeoQ1r5xzxCrPGJg?e=8n3Pgl</t>
  </si>
  <si>
    <t>Revisar y actualizar el Manual de Políticas del Plan Anticorrupción y Atención al Ciudadano, fortaleciendo principalmente los componentes de riesgos anticorrupción, Rendición de Cuentas y Transparencia</t>
  </si>
  <si>
    <t>Manual actualizado con todos los componentes
Meta: 100% avance en la actualización del Manual a 31 de diciembre de 2024</t>
  </si>
  <si>
    <t>No Aplica seguimiento para este periodo</t>
  </si>
  <si>
    <t>3. RENDICIÓN DE CUENTAS</t>
  </si>
  <si>
    <t>TERCER COMPONENTE: RENDICIÓN DE CUENTAS: Subcomponente 1</t>
  </si>
  <si>
    <t>Publicar el primer informe periódico de rendición de cuentas corte a diciembre 2023 en la página web.</t>
  </si>
  <si>
    <t xml:space="preserve">La Oficina de Mercadeo realiza la consolidación y el diseño completo del Informe de Gestión </t>
  </si>
  <si>
    <t>Se adjunta el informe de gestión vigencia 2023, publicado en la pagina web en el mes de marzo de la presente vigencia. 
https://laprevisora.sharepoint.com/:b:/s/GerenciadeInnovacinyProcesos-SubgerenciadeMejoramientoyProcesos/EZR-c9SuhwlJlKlZCO7dLVIB0tMzR2fvCMkaW7gqRQSnOQ?e=t9Rf7Z</t>
  </si>
  <si>
    <t>Informar avances y resultados de la gestión con calidad y en lenguaje comprensible</t>
  </si>
  <si>
    <t>Publicar los resultados más importantes del primer semestre</t>
  </si>
  <si>
    <t>La Oficina de Mercadeo realiza la consolidación y el diseño completo de la información</t>
  </si>
  <si>
    <t>Divulgar los resultados de la Compañía en el año 2023 por vicepresidencias</t>
  </si>
  <si>
    <t>Se comunicarán los aspectos relevantes de la gestión de las diferentes áreas de la compañía, por medio de buena nota, Comunicaciones Corporativas, Yammer, redes sociales.</t>
  </si>
  <si>
    <t>Se comunicaron los aspectos relevantes de la gestión de las diferentes áreas de la compañía, por medio de buena nota, Comunicaciones Corporativas, Yammer, redes sociales.
Se adjunta evidencia:
https://laprevisora.sharepoint.com/:w:/s/GerenciadeInnovacinyProcesos-SubgerenciadeMejoramientoyProcesos/Ef4fsj1-YpFPp2LvVdytvIMBNVmZedvF5ccrBAT_75Jwog?e=fiMlTf</t>
  </si>
  <si>
    <t>Carta del Presidente</t>
  </si>
  <si>
    <t>Se elaborará una carta gráfica del Presidente con los resultados más importantes y será enviada a todos los funcionarios, para realizarse su seguimiento en el próximo cuatrimestre</t>
  </si>
  <si>
    <t>TERCER COMPONENTE: RENDICIÓN DE CUENTAS: Subcomponente 2</t>
  </si>
  <si>
    <t>Promover el uso del Buzón abierto Previsora</t>
  </si>
  <si>
    <t>Se invitará a los funcionarios, que trimestralmente le envíen preguntas vía correo electrónico al presidente de la Compañía. Estas se responderán por medios de los canales oficiales internos o directamente al funcionario</t>
  </si>
  <si>
    <t>Desarrollar escenarios de diálogo de doble vía con la ciudadanía y sus organizaciones</t>
  </si>
  <si>
    <t>Diseñar cronograma que identifica y define los espacios de diálogo presenciales (mesas de trabajo, foros, reuniones, etc.), y  virtuales complementarios (chat, videoconferencias, webinars, etc.), que se emplearán para rendir cuentas: 1) Sobre los temas de interés priorizados, y 2) Sobre la gestión general de la entidad.</t>
  </si>
  <si>
    <t xml:space="preserve">Diseñar y publicar cronograma que defina los espacios de diálogo presenciales y virtuales de rendición de cuentas </t>
  </si>
  <si>
    <t>El cronograma respectivo se encuentra debidamente publicado en la pagina web en el siguiente link https://www.previsora.gov.co/web/guest/5-rendicion-de-cuentas-participa
El numeral es el E.</t>
  </si>
  <si>
    <t>TERCER COMPONENTE: RENDICIÓN DE CUENTAS: Subcomponente 3</t>
  </si>
  <si>
    <t>Diseñar una encuesta de satisfacción sobre la comunicación de resultados al interior de la compañía</t>
  </si>
  <si>
    <t>A través de forms, mercadeo solicitará el diligenciamiento de la encuesta y comunicará el resultado obtenido</t>
  </si>
  <si>
    <t>Responder a compromisos propuestos, evaluación y retroalimentación en los ejercicios de rendición de cuentas con acciones correctivas para mejora</t>
  </si>
  <si>
    <t>TERCER COMPONENTE: RENDICIÓN DE CUENTAS: Subcomponente 3
Responder a compromisos propuestos, evaluación y retroalimentación en los ejercicios de rendición de cuentas con acciones correctivas para mejora</t>
  </si>
  <si>
    <t>Diseñar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t>
  </si>
  <si>
    <t>Este informe será publicado en la página web</t>
  </si>
  <si>
    <t>4. MECANISMOS PARA MANEJAR LA ATENCIÓN AL CIUDADANO</t>
  </si>
  <si>
    <t>CUARTO COMPONENTE: MECANISMOS PARA MEJORAR LA ATENCIÓN AL CIUDADANO</t>
  </si>
  <si>
    <t>Encuestas de satisfacción Clientes y usuarios finales</t>
  </si>
  <si>
    <t>Encuestas de servicio aplicadas y nivel de satisfacción de usuarios medido (cliente final)</t>
  </si>
  <si>
    <t>Se comparten resultados de encuesta cliente final con corte a marzo. En este momento se inicia medicion del mes de abril
https://app.powerbi.com/view?r=eyJrIjoiZmM0OTdmYjgtODA1MS00ZDJhLWFiMmUtYTBjMTVlY2RiZmJmIiwidCI6IjRjYTRjNjYxLTgzYjUtNDc1NS1hZjc5LWMwYzg0ZGI3NTJmMCIsImMiOjR9</t>
  </si>
  <si>
    <t>Indicador: número de encuestas realizadas con nivel de satisfacción medido.
Meta: 11 encuestas con corte 30 de diciembre (mensualmente y posterior finalización de cada mes)</t>
  </si>
  <si>
    <t>Encuestas de satisfacción intermediarios (Agentes y Agencias)</t>
  </si>
  <si>
    <t>Encuestas de servicio aplicadas y nivel de satisfacción de usuarios medido (aliados)</t>
  </si>
  <si>
    <t>Se comparten resultados de encuesta cliente intermediario con primer trimestre. 
https://app.powerbi.com/view?r=eyJrIjoiMzNkNDA0N2QtOTJjZC00YTNmLWI2M2QtODZmNzYxNjQxOGUzIiwidCI6IjRjYTRjNjYxLTgzYjUtNDc1NS1hZjc5LWMwYzg0ZGI3NTJmMCIsImMiOjR9</t>
  </si>
  <si>
    <t>Indicador: número de encuestas realizadas con nivel de satisfacción medido.
Meta: 3 encuestas con corte 30 de diciembre (trimestral y posterior finalización de cada trimestre)</t>
  </si>
  <si>
    <t>Capacitación sobre temas relacionados con atención al cliente dirigida a los funcionarios de la compañía, acorde a los lineamientos del SAC y la Universidad Previsora</t>
  </si>
  <si>
    <t>Generar informes acerca del desarrollo de capacitaciones en Atención al Cliente</t>
  </si>
  <si>
    <t>El informe es con corte a 31 de diciembre, sin embargo se relaciona avance, evidencia de capacitacion del Defensor del Consumidor Financiero realizada a toda la compañía el pasado 17 de abril de 2024</t>
  </si>
  <si>
    <t>Indicador: Número de informes generados, con corte a 31 de diciembre de 2024.
Meta: 2</t>
  </si>
  <si>
    <t>Implementar incentivos para motivar la excelencia en la atención al cliente</t>
  </si>
  <si>
    <t>Informe de Incentivos aplicados relacionados con motivación a la excelencia en la atención al cliente</t>
  </si>
  <si>
    <t>Indicador: Entrega de resultados, de manera semestral, antes de 31 de diciembre de 2024.
Meta: 1 Acta de socialización ante el Comité SAC de los reconocimientos realizados por Talento Humano, con corte a 30 de junio.</t>
  </si>
  <si>
    <t>Realizar seguimiento permanente al comportamiento de las PQR</t>
  </si>
  <si>
    <t>Presentación del comportamiento de PQRs en los comités de SAC</t>
  </si>
  <si>
    <t>Se relaciona soporte comité SAC realizado el 8 de febrero 2024 y el Comité de SAC primer trimestre esta  programado para el proximo 16 de mayo</t>
  </si>
  <si>
    <t>Indicador: Número de comités generados
Meta: Comité cierre 2023, comité 1 trimestre, comité 2 trimestre, comité 3 trimestre</t>
  </si>
  <si>
    <t>Incorporación Lenguaje Claro en la Compañía</t>
  </si>
  <si>
    <t>Capacitar sobre lenguaje claro y trato justo a los responsables de dar respuesta a PQR's en la compañía.</t>
  </si>
  <si>
    <t>3 Capacitaciones para las áreas y/o sucursales tramitadoras
1 Webinar en Yammer</t>
  </si>
  <si>
    <t>Realizar seguimiento cuatrimestral a la ejecución del PAAC en el Comité Institucional de Gestión y Desempeño (Semestral)</t>
  </si>
  <si>
    <t>Realizar seguimiento cuatrimestral al PAAC</t>
  </si>
  <si>
    <t>Indicador: Actas de seguimiento generadas
Meta: Actas generadas de acuerdo con lo expuesto en el Comité de Gestión y Desempeño y las auditorías realizadas por la Oficina de Control Interno.</t>
  </si>
  <si>
    <t>QUINTO COMPONENTE: MECANISMOS PARA LA TRANSPARENCIA Y ACCESO A LA INFORMACIÓN</t>
  </si>
  <si>
    <t>Socializar los resultados de la Auditoria del Plan Anticorrupción y de Atención al Ciudadano (cuatrimestre)</t>
  </si>
  <si>
    <t>Informes de Auditorias socializados (2)</t>
  </si>
  <si>
    <t>HUMANOS, OPERATIVO, TECNOLÓGICOS, FÍSICOS Y FINANCIEROS</t>
  </si>
  <si>
    <t>Indicador: Auditoria Ejecutada/Auditoria Programada
Meta: 100% de cumplimiento de acuerdo al Progerama de Auditorias</t>
  </si>
  <si>
    <t>Reportar el cumplimiento por parte de La Previsora  para la vigencia 2023 de los lineamientos del MINTIC Y DEL DAFP a la Procuraduría en el Reporte del índice de transparencia y acceso a la información  según lo estipulado por el Anexo 2 sobre Estándares de publicación y divulgación de información de la Resolución 1519 de 2020 del Ministerio de Tecnologías de la Información y las Comunicaciones. y/o la que la modique o sustituya.</t>
  </si>
  <si>
    <t>Resultado de auditoría efectuada por la Procuaduría del cumplimiento del índice de transpatencia y acceso a la información para la vigencia 2023.</t>
  </si>
  <si>
    <t>De acuerdo al lineamineto de la Procuraduria General de la Nación (Matriz-ITA), se reporto el cumplimiento de la Matriz-ITA por parte de La Previsora S.A. Compañia de Seguros, en el cual se obtuvo un nivel de cumplimiento de 100 sobre 100 puntos para la vigencia 2023, de acuerdo al reporte emitido por la Procuraduria.</t>
  </si>
  <si>
    <t>6. INICIATIVAS ADICIONALES</t>
  </si>
  <si>
    <t>SEXTO COMPONENTE: INICIATIVAS ADICIONALES</t>
  </si>
  <si>
    <t>Capacitación sobre temas relacionados con derecho disciplinario convocadas por el Ministerio de Hacienda y Crédito Público</t>
  </si>
  <si>
    <t>Asistencia a capacitaciones</t>
  </si>
  <si>
    <t xml:space="preserve">HUMANOS,  TECNOLÓGICOS, </t>
  </si>
  <si>
    <t>Se realizó publicación de los Efectos emocionales negativos que genera el acoso laboral y/o sexual en el lugar de trabajo.el día 8 de  marzo de 2024</t>
  </si>
  <si>
    <t>Indicador: Número de asistencias a Capacitaciones sobre Derecho Disciplinario / Número de convocatorias a Capacitaciones sobre Derecho Disciplinario realizadas por el Ministerio de Hacienda y Crédito Público</t>
  </si>
  <si>
    <t xml:space="preserve">Sensibilizaciones al personal de planta en temas de derecho disciplinario a través de publicación cuatrimestral en los diferentes canales de comunicación dispuestos en la compañía. </t>
  </si>
  <si>
    <t>Sensibilizaciones realizadas
Indicador: Número de  sensibilizaciones realizadas / 3</t>
  </si>
  <si>
    <t>HUMANOS, TECNOLÓGICOS</t>
  </si>
  <si>
    <t>Se asistio a 4 sesiones del Colectivo Disciplinario Sector Hacienda los días 15 de febrero, 28 de febrero, 14 de marzo y 18 de abril de 2024</t>
  </si>
  <si>
    <t>SEXTO COMPONENTE: INICIATIVAS ADICIONALES - INTEGRIDAD</t>
  </si>
  <si>
    <t>Alcanzar el nivel de apropiación de los valores de Previsora</t>
  </si>
  <si>
    <t>Nivel de apropiación valores en un 90%:</t>
  </si>
  <si>
    <t>HUMANOS,  TECNOLÓGICOS,  FINANCIEROS</t>
  </si>
  <si>
    <t>(Número de personas que contestaron entre 3 y 4 en la encuesta de apropiación de valores / Número Total de encuestas respondidas) * 100%</t>
  </si>
  <si>
    <t>PLAN INTEGRADO DE ACCIÓN ANUAL 2024 - PLAN ESTRATÉGICO DE TECNOLOGÍAS DE LA INFORMACIÓN</t>
  </si>
  <si>
    <t>GERENCIA DE T.I</t>
  </si>
  <si>
    <t>HOJA DE RUTA</t>
  </si>
  <si>
    <t>PROYECTO, INICIATIVA O ACTIVIDAD</t>
  </si>
  <si>
    <t>NOMBRE</t>
  </si>
  <si>
    <t>ALCANCE</t>
  </si>
  <si>
    <t>EVIDENCIA</t>
  </si>
  <si>
    <t>ESTRATEGIA DE T.I.</t>
  </si>
  <si>
    <t>Desarrollo de la Hoja de Ruta de Estrategia de T.I. para el año 2024</t>
  </si>
  <si>
    <t>1) Actualización del PETI 2022-2025
2) Socialización de los ajustes del PETI para el año 2024.
3) Analisis de brechas, mejoras y planes de acción del PETI para el año 2023.</t>
  </si>
  <si>
    <t>1) Documento PETI versión actualizada
2) Presentaciones y/o piezas de comunicación relacionadas a la socialización del PETI
3) Informe de analisis de brechas, mejoras y planes de acción del PETI.</t>
  </si>
  <si>
    <t>Recurso Humano</t>
  </si>
  <si>
    <t>Recursos Propios</t>
  </si>
  <si>
    <t xml:space="preserve">Se esta desarrollando la infografia del PETI para ser publicado en la pagina wEB e intranet de la compañía </t>
  </si>
  <si>
    <t>GOBIERNO DE T.I.</t>
  </si>
  <si>
    <t>Desarrollo de la Hoja de Ruta de Gobierno de T.I. para el año 2024</t>
  </si>
  <si>
    <t xml:space="preserve">1) Actualización de los procesos de la gestión tecnológica
2) Operacionalización de las politicas de T.I.
3) Socialización de las gestión de T.I. del año 2023 </t>
  </si>
  <si>
    <t>1) Artefactos de procesos actualizados en la herramienta de gestión.
2) artefactos relacionados a la operacionalización de las políticas de T.I.
3) Presentaciones y/o piezas de comunicación relacionadas a la socialiación de la Gestión de T.I.</t>
  </si>
  <si>
    <t>Se construye la presentación de la gestión del T.I. del segundo semestre del 2023</t>
  </si>
  <si>
    <t>USO Y APROPIACIÓN DE T.I.</t>
  </si>
  <si>
    <t>Desarrollo de la Hoja de Ruta de Uso y Apropiación de T.I. para el año 2024</t>
  </si>
  <si>
    <t>1) Potenciar el conocimiento de uso en SISE
2) Potenciar el conocimiento del uno en ON BASE.
3) Fortalecer el uso de las herramientas tecnologicas Office 365 y RPA
4) Herramienta de Gestión del Conocimiento de TI</t>
  </si>
  <si>
    <t>1) Registro de reentrenamientos o capacitaciones asociadas a SISE
2) Registro de reentrenamientos o capacitaciones asociadas a ON BASE
3) Registro de reentrenamientos o capacitaciones asociadas a office 365 y Ficha Tecnica
4) Resultados Implementación Herramienta de Gestión del Conocimiento de TI</t>
  </si>
  <si>
    <t>Se define que la Herramienta de Gestión del Conocimiento se Implementará en Sharepoint.
Se definen dos temas para las capacitaciones de SISE.</t>
  </si>
  <si>
    <t>SISTEMAS DE INFORMACIÓN</t>
  </si>
  <si>
    <t>Desarrollo de la Hoja de Ruta de Sistemas de Información de T.I. para el año 2024</t>
  </si>
  <si>
    <t xml:space="preserve">1) Estudio de Mercado implementación DEVOPS en la Previsora
2) Investigación de mercado para la selección d ela mejor alternativa CORE
3) Desarrollo de las actividades asociadas para la implementación del modelo de  Interoperabilidad </t>
  </si>
  <si>
    <t>1) Informe de resultados del estudio de mercado (DEVOPS)
2) Informe de resultados del estudio de mercados para la selección de la mejor alternativa CORE
3) Artefactos asociados de la implementación del modelo de interoperabilidad</t>
  </si>
  <si>
    <t>1) Inicio Analísis Herramientas Devops.
 2) Inicio validación doc. Arquitectura Novedades por Ramo y Optimización Reportes.
3) Finalización Configuraciónes Actualización Sistemas (OnBase).</t>
  </si>
  <si>
    <t>SERVICIOS TECNOLOGICOS</t>
  </si>
  <si>
    <t>Desarrollo de la Hoja de Ruta de Servicios Tecnológicos para el año 2024</t>
  </si>
  <si>
    <t>1)	Implementación backup Office 365
2)	Mejora continua de los procesos ITIL
3)	Fortalecimiento esquema operación DRP</t>
  </si>
  <si>
    <t xml:space="preserve">1) Evidencias de sincronización  y manual de uso para Exchange, SharePoint y OneDrive.
2) Documento Instrumento de nivel de madurez de medición gestión MDS ITIL 4.
3) Documento: "Matriz de políticas backup para aplicaciones incluidas en el BIA"
Documento "Recopilación de propuestas de soluciones para recuperación de ataques tipo Ransomware"
Documento "Planes de recuperación de ataques tipo Ransomware"
</t>
  </si>
  <si>
    <t>Se realizan pruebas de Restauración Backup Office 365</t>
  </si>
  <si>
    <t>GR2. Fortalecer la Gestión TIC y de la Información en las Entidades del Sector Hacienda</t>
  </si>
  <si>
    <t>Optimizar el modelo operativo con procesos transversales para ser más ágiles, flexibles y eficaces</t>
  </si>
  <si>
    <t xml:space="preserve">5) Documento: "Matriz de políticas backup para aplicaciones incluidas en el BIA".
Documento "Recopilación de propuestas de soluciones para recuperación de ataques tipo Ransomware".
Documento "Planes de recuperación de ataques tipo Ransomware".
</t>
  </si>
  <si>
    <t xml:space="preserve">PLAN INTEGRADO DE ACCIÓN ANUAL 2024 - PLAN DE TRATAMIENTO DE RIESGOS DE SEGURIDAD Y PRIVACIDAD DE LA INFORMACIÓN </t>
  </si>
  <si>
    <t>TOTAL CUMPLIMIENTO AÑO</t>
  </si>
  <si>
    <t>Solicitar a los  líderes de proceso la actualización anual de la matriz de inventario de activos de información a cargo de cada uno y realizar la consolidación de la misma.</t>
  </si>
  <si>
    <t>Matrices de activos de información por proceso actualizadas</t>
  </si>
  <si>
    <t>Anual</t>
  </si>
  <si>
    <t>● Se actualizó el procecdimiento para que los procesos efectúen la gestión de actualización de activos en la platorma Novasec.
● Se diseñó instructivo para los funcionarios, para la actualización de activos.
● Se diseñó instructivo para la generación de reporte individualizado por parte de cada proceso</t>
  </si>
  <si>
    <t>Revisar los riesgos y/o controles cuando se materialicen eventos de seguridad y/o se implementen o mejoren los controles con el fin de actualizar la matriz de riesgos en caso de requerirse.</t>
  </si>
  <si>
    <t>Matriz de riesgos de seguridad de la información</t>
  </si>
  <si>
    <t>● No se materializaron eventos durante el primer trimestre que ameriten la actualización de la matriz de riesgos de seguridad.</t>
  </si>
  <si>
    <t>Gerencia de Riesgos / Líderes de proceso</t>
  </si>
  <si>
    <t>Actualizar riesgos y controles de seguridad de la información sobre los activos de información críticos.</t>
  </si>
  <si>
    <t>● Esta actividad se desarrolla posterior a la actualización de las matrices de activos de información de todos los procesos o en caso de materialización de eventos de seguridad que lo amerite.</t>
  </si>
  <si>
    <t>PLAN INTEGRADO DE ACCIÓN ANUAL 2024 - PLAN DE SEGURIDAD Y PRIVACIDAD DE LA INFORMACIÓN</t>
  </si>
  <si>
    <t>GERENCIA DE RIESGOS
GERENCIA DE T.I</t>
  </si>
  <si>
    <t>Responsable</t>
  </si>
  <si>
    <t>Desarrollo de la Hoja de Ruta de Aseguramiento Informativo y Ciberseguridad para el año 2024
Medición Anual del MSPI de componente tecnologíco</t>
  </si>
  <si>
    <t>Matriz MSPI</t>
  </si>
  <si>
    <t>Se efectua evaluacion de los componentes TIC del modelo MSPI - Dato trimestral</t>
  </si>
  <si>
    <t>Desarrollar actividades de sensibilización y capacitación en el SGSI y Ciberseguridad.</t>
  </si>
  <si>
    <t>Funcionarios y contratistas</t>
  </si>
  <si>
    <t>Reporte de funcionarios que han efectuado el curso generado por la Gerencia de TH.
Evidencias de mensajes y campañas de sensibilización  efectuadas</t>
  </si>
  <si>
    <t>Humanos</t>
  </si>
  <si>
    <t>CAPACITACION</t>
  </si>
  <si>
    <t>Durante el primer trimestre se desarrollaron las siguientes actividades
● Curso Virtual nuevos ingresos
● Tips seguridad a través de comunicaciones corporativas
● 2 Sesiones de capacitación presenciales
● 1 Sesión de Capacitación virtual</t>
  </si>
  <si>
    <t>Diseñar y desarrollar una prueba de Ingenieria social , documentando la respuesta, recuperación, reanudación de la operación en contingencia y restauración.</t>
  </si>
  <si>
    <t>Se define al momento de hacer la planeación de la prueba</t>
  </si>
  <si>
    <t>Informe de resultados de la prueba  (información sensible que en caso de requerirse se podrá consultar en la gerencia de riesgos)</t>
  </si>
  <si>
    <t>GRUPO: 'GASTOS TECNOLOGICOS                      RUBRO:  SEGURIDAD INFORMATICA Y ADMINISTRACION DE INFRAESTRUCTURA TECNOLOGICA SEGURIDAD INFORMATICA CONCEPTO: SEGURIDAD DE LA INFORMACION - G. RIESGO</t>
  </si>
  <si>
    <t>Esta actividad está para ejecución para el segundo trimestre</t>
  </si>
  <si>
    <r>
      <t>Ejecutar un programa de evaluación de al men</t>
    </r>
    <r>
      <rPr>
        <sz val="11"/>
        <rFont val="Calibri"/>
        <family val="2"/>
      </rPr>
      <t>os 20</t>
    </r>
    <r>
      <rPr>
        <sz val="11"/>
        <color rgb="FF000000"/>
        <rFont val="Calibri"/>
        <family val="2"/>
      </rPr>
      <t xml:space="preserve"> controles de los establecidos en el estándar ISO 27001 asociados a los procesos de la compañía y hacer seguimiento a la implementación de acciones de mejoramiento sobre los mismos si a ello hay lugar</t>
    </r>
  </si>
  <si>
    <t>La evaluación se hace de forma aleatoria sobre controles técnicos</t>
  </si>
  <si>
    <t>Informe de resultados de la evaluaciones efectuadas (información sensible que en caso de requerirse se podrá consultar en la gerencia de riesgos)</t>
  </si>
  <si>
    <t>Durante el primer trimestre se evaluaron 6 controles:
A 5.30 Preparación de las TIC para la continuidad del negocio 
A.5.7 Inteligencia de amenazas
A.5.15 Control de acceso 
A.7.4 Monitoreo de la seguridad física 
A.7.12 Seguridad en el cableado 
A.8.16 Actividades de seguimiento - Red El informe es confidencial por lo cual no se adjunta evidencia. En caso de ser querido se puede consultar en la gerencia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</si>
</sst>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_-[$$-409]* #,##0_ ;_-[$$-409]* \-#,##0\ ;_-[$$-409]* &quot;-&quot;??_ ;_-@_ "/>
  </numFmts>
  <fonts count="8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color theme="1"/>
      <name val="Aptos Narrow"/>
      <family val="2"/>
      <scheme val="minor"/>
    </font>
    <font>
      <sz val="11"/>
      <color theme="1"/>
      <name val="Arial"/>
      <family val="2"/>
    </font>
    <font>
      <sz val="20"/>
      <color theme="1"/>
      <name val="Aptos Display"/>
      <family val="2"/>
      <scheme val="major"/>
    </font>
    <font>
      <b/>
      <sz val="20"/>
      <color theme="1"/>
      <name val="Aptos Display"/>
      <family val="2"/>
      <scheme val="major"/>
    </font>
    <font>
      <b/>
      <sz val="16"/>
      <color rgb="FFFFFFFF"/>
      <name val="Calibri Light"/>
      <family val="2"/>
    </font>
    <font>
      <sz val="16"/>
      <name val="Calibri Light"/>
      <family val="2"/>
    </font>
    <font>
      <sz val="11"/>
      <color rgb="FF000000"/>
      <name val="Calibri"/>
      <family val="2"/>
    </font>
    <font>
      <b/>
      <sz val="14"/>
      <color rgb="FF7F7F7F"/>
      <name val="Calibri"/>
      <family val="2"/>
    </font>
    <font>
      <b/>
      <sz val="26"/>
      <color theme="0"/>
      <name val="Aptos Narrow"/>
      <family val="2"/>
      <scheme val="minor"/>
    </font>
    <font>
      <b/>
      <sz val="18"/>
      <color rgb="FF7F7F7F"/>
      <name val="Calibri"/>
      <family val="2"/>
    </font>
    <font>
      <b/>
      <sz val="16"/>
      <color rgb="FF7F7F7F"/>
      <name val="Calibri"/>
      <family val="2"/>
    </font>
    <font>
      <b/>
      <sz val="36"/>
      <color rgb="FFFFFFFF"/>
      <name val="Aptos Narrow"/>
      <family val="2"/>
      <scheme val="minor"/>
    </font>
    <font>
      <b/>
      <sz val="16"/>
      <color theme="0"/>
      <name val="Calibri"/>
      <family val="2"/>
    </font>
    <font>
      <sz val="16"/>
      <name val="Calibri"/>
      <family val="2"/>
    </font>
    <font>
      <b/>
      <sz val="14"/>
      <color rgb="FFFFFFFF"/>
      <name val="Century Gothic"/>
      <family val="2"/>
    </font>
    <font>
      <sz val="18"/>
      <color rgb="FF000000"/>
      <name val="Calibri"/>
      <family val="2"/>
    </font>
    <font>
      <b/>
      <sz val="11"/>
      <color rgb="FFFFFFFF"/>
      <name val="Century Gothic"/>
      <family val="2"/>
    </font>
    <font>
      <b/>
      <sz val="11"/>
      <color rgb="FF000000"/>
      <name val="Calibri"/>
      <family val="2"/>
    </font>
    <font>
      <sz val="11"/>
      <color rgb="FF000000"/>
      <name val="Aptos Narrow"/>
      <family val="2"/>
      <scheme val="minor"/>
    </font>
    <font>
      <b/>
      <sz val="11"/>
      <color rgb="FFFFFFFF"/>
      <name val="Aptos Narrow"/>
      <family val="2"/>
      <scheme val="minor"/>
    </font>
    <font>
      <sz val="11"/>
      <name val="Aptos Narrow"/>
      <family val="2"/>
      <scheme val="minor"/>
    </font>
    <font>
      <sz val="12"/>
      <color theme="1" tint="0.34998626667073579"/>
      <name val="Calibri"/>
      <family val="2"/>
    </font>
    <font>
      <sz val="16"/>
      <color theme="1"/>
      <name val="Calibri"/>
      <family val="2"/>
    </font>
    <font>
      <sz val="11"/>
      <color theme="1"/>
      <name val="Calibri"/>
      <family val="2"/>
    </font>
    <font>
      <b/>
      <sz val="16"/>
      <color theme="1" tint="0.34998626667073579"/>
      <name val="Calibri"/>
      <family val="2"/>
    </font>
    <font>
      <b/>
      <sz val="12"/>
      <name val="Calibri"/>
      <family val="2"/>
    </font>
    <font>
      <b/>
      <sz val="14"/>
      <color rgb="FF000000"/>
      <name val="Calibri"/>
      <family val="2"/>
    </font>
    <font>
      <sz val="11"/>
      <color theme="1" tint="0.34998626667073579"/>
      <name val="Aptos Narrow"/>
      <family val="2"/>
      <scheme val="minor"/>
    </font>
    <font>
      <sz val="10"/>
      <color rgb="FF000000"/>
      <name val="Calibri"/>
      <family val="2"/>
    </font>
    <font>
      <sz val="14"/>
      <color theme="1"/>
      <name val="Calibri"/>
      <family val="2"/>
    </font>
    <font>
      <sz val="14"/>
      <color theme="1"/>
      <name val="Aptos Narrow"/>
      <family val="2"/>
      <scheme val="minor"/>
    </font>
    <font>
      <sz val="12"/>
      <color rgb="FF000000"/>
      <name val="Calibri"/>
      <family val="2"/>
    </font>
    <font>
      <sz val="20"/>
      <color theme="1"/>
      <name val="Aptos Narrow"/>
      <family val="2"/>
      <scheme val="minor"/>
    </font>
    <font>
      <b/>
      <sz val="16"/>
      <color indexed="81"/>
      <name val="Aptos Narrow"/>
      <family val="2"/>
      <scheme val="minor"/>
    </font>
    <font>
      <sz val="16"/>
      <color indexed="81"/>
      <name val="Aptos Narrow"/>
      <family val="2"/>
      <scheme val="minor"/>
    </font>
    <font>
      <b/>
      <sz val="14"/>
      <color theme="0"/>
      <name val="Century Gothic"/>
      <family val="2"/>
    </font>
    <font>
      <b/>
      <sz val="11"/>
      <color theme="0"/>
      <name val="Century Gothic"/>
      <family val="2"/>
    </font>
    <font>
      <b/>
      <sz val="10"/>
      <color theme="0"/>
      <name val="Calibri"/>
      <family val="2"/>
    </font>
    <font>
      <b/>
      <sz val="11"/>
      <color theme="0"/>
      <name val="Calibri"/>
      <family val="2"/>
    </font>
    <font>
      <b/>
      <sz val="12"/>
      <color theme="0"/>
      <name val="Calibri"/>
      <family val="2"/>
    </font>
    <font>
      <sz val="11"/>
      <name val="Calibri"/>
      <family val="2"/>
    </font>
    <font>
      <sz val="11"/>
      <color theme="1" tint="0.34998626667073579"/>
      <name val="Calibri"/>
      <family val="2"/>
    </font>
    <font>
      <b/>
      <sz val="10"/>
      <color theme="1" tint="0.34998626667073579"/>
      <name val="Calibri"/>
      <family val="2"/>
    </font>
    <font>
      <sz val="10"/>
      <color rgb="FF000000"/>
      <name val="Arial"/>
      <family val="2"/>
    </font>
    <font>
      <sz val="10"/>
      <color theme="1"/>
      <name val="Verdana"/>
      <family val="2"/>
    </font>
    <font>
      <b/>
      <sz val="11"/>
      <color rgb="FF000000"/>
      <name val="Aptos Narrow"/>
      <family val="2"/>
      <scheme val="minor"/>
    </font>
    <font>
      <i/>
      <sz val="11"/>
      <color rgb="FF000000"/>
      <name val="Aptos Narrow"/>
      <family val="2"/>
      <scheme val="minor"/>
    </font>
    <font>
      <b/>
      <sz val="11"/>
      <color rgb="FF00B050"/>
      <name val="Aptos Narrow"/>
      <family val="2"/>
      <scheme val="minor"/>
    </font>
    <font>
      <sz val="11"/>
      <color rgb="FF00B050"/>
      <name val="Aptos Narrow"/>
      <family val="2"/>
      <scheme val="minor"/>
    </font>
    <font>
      <i/>
      <sz val="11"/>
      <color theme="1"/>
      <name val="Aptos Narrow"/>
      <family val="2"/>
      <scheme val="minor"/>
    </font>
    <font>
      <sz val="11"/>
      <color rgb="FF444444"/>
      <name val="Aptos Narrow"/>
      <family val="2"/>
      <scheme val="minor"/>
    </font>
    <font>
      <sz val="10"/>
      <name val="Calibri"/>
      <family val="2"/>
    </font>
    <font>
      <b/>
      <sz val="9"/>
      <color rgb="FF000000"/>
      <name val="Tahoma"/>
      <family val="2"/>
    </font>
    <font>
      <sz val="9"/>
      <color rgb="FF000000"/>
      <name val="Tahoma"/>
      <family val="2"/>
    </font>
    <font>
      <sz val="9"/>
      <color indexed="81"/>
      <name val="Tahoma"/>
      <family val="2"/>
    </font>
    <font>
      <sz val="10"/>
      <color rgb="FF000000"/>
      <name val="Aptos Narrow"/>
      <family val="2"/>
      <scheme val="minor"/>
    </font>
    <font>
      <sz val="8"/>
      <color theme="1" tint="0.34998626667073579"/>
      <name val="Calibri"/>
      <family val="2"/>
    </font>
    <font>
      <sz val="12"/>
      <name val="Calibri"/>
      <family val="2"/>
    </font>
    <font>
      <b/>
      <sz val="18"/>
      <color rgb="FFFFFFFF"/>
      <name val="Century Gothic"/>
      <family val="2"/>
    </font>
    <font>
      <b/>
      <sz val="10"/>
      <color rgb="FFFFFFFF"/>
      <name val="Arial"/>
      <family val="2"/>
    </font>
    <font>
      <sz val="14"/>
      <color rgb="FF000000"/>
      <name val="Aptos Narrow"/>
      <family val="2"/>
      <scheme val="minor"/>
    </font>
    <font>
      <sz val="14"/>
      <color rgb="FF000000"/>
      <name val="Calibri"/>
      <family val="2"/>
    </font>
    <font>
      <sz val="14"/>
      <name val="Arial"/>
      <family val="2"/>
    </font>
    <font>
      <sz val="10"/>
      <name val="Arial"/>
      <family val="2"/>
    </font>
    <font>
      <sz val="11"/>
      <color theme="1" tint="4.9989318521683403E-2"/>
      <name val="Calibri"/>
      <family val="2"/>
    </font>
    <font>
      <sz val="12"/>
      <color theme="1" tint="4.9989318521683403E-2"/>
      <name val="Calibri"/>
      <family val="2"/>
    </font>
    <font>
      <sz val="18"/>
      <name val="Aptos Narrow"/>
      <family val="2"/>
      <scheme val="minor"/>
    </font>
    <font>
      <sz val="20"/>
      <color rgb="FF000000"/>
      <name val="Aptos Narrow"/>
      <family val="2"/>
      <scheme val="minor"/>
    </font>
    <font>
      <b/>
      <sz val="18"/>
      <color rgb="FF000000"/>
      <name val="Aptos Narrow"/>
      <family val="2"/>
      <scheme val="minor"/>
    </font>
    <font>
      <b/>
      <sz val="14"/>
      <color rgb="FF000000"/>
      <name val="Aptos Narrow"/>
      <family val="2"/>
      <scheme val="minor"/>
    </font>
    <font>
      <b/>
      <sz val="14"/>
      <color rgb="FFFFFFFF"/>
      <name val="Aptos Narrow"/>
      <family val="2"/>
      <scheme val="minor"/>
    </font>
    <font>
      <sz val="14"/>
      <name val="Aptos Narrow"/>
      <family val="2"/>
      <scheme val="minor"/>
    </font>
    <font>
      <sz val="12"/>
      <color rgb="FF000000"/>
      <name val="Aptos Narrow"/>
      <family val="2"/>
      <scheme val="minor"/>
    </font>
    <font>
      <sz val="14"/>
      <color rgb="FF444444"/>
      <name val="Aptos Narrow"/>
      <family val="2"/>
      <scheme val="minor"/>
    </font>
    <font>
      <sz val="14"/>
      <name val="Calibri"/>
      <family val="2"/>
    </font>
    <font>
      <sz val="10.8"/>
      <name val="Calibri"/>
      <family val="2"/>
    </font>
    <font>
      <b/>
      <sz val="26"/>
      <color theme="0"/>
      <name val="Century Gothic"/>
      <family val="2"/>
    </font>
    <font>
      <b/>
      <sz val="16"/>
      <color theme="0"/>
      <name val="Century Gothic"/>
      <family val="2"/>
    </font>
    <font>
      <sz val="8"/>
      <name val="Aptos Narrow"/>
      <family val="2"/>
      <scheme val="minor"/>
    </font>
  </fonts>
  <fills count="35">
    <fill>
      <patternFill patternType="none"/>
    </fill>
    <fill>
      <patternFill patternType="gray125"/>
    </fill>
    <fill>
      <patternFill patternType="solid">
        <fgColor theme="0"/>
        <bgColor indexed="64"/>
      </patternFill>
    </fill>
    <fill>
      <patternFill patternType="solid">
        <fgColor theme="0" tint="-0.34998626667073579"/>
        <bgColor indexed="64"/>
      </patternFill>
    </fill>
    <fill>
      <gradientFill degree="90">
        <stop position="0">
          <color rgb="FF532963"/>
        </stop>
        <stop position="1">
          <color rgb="FF9B4CBA"/>
        </stop>
      </gradientFill>
    </fill>
    <fill>
      <patternFill patternType="solid">
        <fgColor rgb="FFFF0000"/>
        <bgColor indexed="64"/>
      </patternFill>
    </fill>
    <fill>
      <patternFill patternType="solid">
        <fgColor rgb="FF70AD47"/>
        <bgColor rgb="FF000000"/>
      </patternFill>
    </fill>
    <fill>
      <patternFill patternType="solid">
        <fgColor rgb="FF00B050"/>
        <bgColor indexed="64"/>
      </patternFill>
    </fill>
    <fill>
      <patternFill patternType="solid">
        <fgColor rgb="FFFFFF00"/>
        <bgColor rgb="FFBFBFBF"/>
      </patternFill>
    </fill>
    <fill>
      <patternFill patternType="solid">
        <fgColor rgb="FF95E069"/>
        <bgColor rgb="FF000000"/>
      </patternFill>
    </fill>
    <fill>
      <patternFill patternType="solid">
        <fgColor rgb="FFFFFFFF"/>
        <bgColor rgb="FF000000"/>
      </patternFill>
    </fill>
    <fill>
      <patternFill patternType="solid">
        <fgColor rgb="FFFFC000"/>
        <bgColor rgb="FF000000"/>
      </patternFill>
    </fill>
    <fill>
      <patternFill patternType="solid">
        <fgColor rgb="FFF2F2F2"/>
        <bgColor rgb="FFF2F2F2"/>
      </patternFill>
    </fill>
    <fill>
      <patternFill patternType="solid">
        <fgColor theme="0" tint="-4.9989318521683403E-2"/>
        <bgColor rgb="FF7F7F7F"/>
      </patternFill>
    </fill>
    <fill>
      <patternFill patternType="solid">
        <fgColor theme="0" tint="-4.9989318521683403E-2"/>
        <bgColor indexed="64"/>
      </patternFill>
    </fill>
    <fill>
      <patternFill patternType="solid">
        <fgColor theme="6"/>
        <bgColor indexed="64"/>
      </patternFill>
    </fill>
    <fill>
      <patternFill patternType="solid">
        <fgColor theme="9" tint="0.59999389629810485"/>
        <bgColor rgb="FF000000"/>
      </patternFill>
    </fill>
    <fill>
      <patternFill patternType="solid">
        <fgColor rgb="FF757171"/>
        <bgColor rgb="FF000000"/>
      </patternFill>
    </fill>
    <fill>
      <patternFill patternType="solid">
        <fgColor theme="0"/>
        <bgColor rgb="FF000000"/>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rgb="FFBFBFBF"/>
      </patternFill>
    </fill>
    <fill>
      <gradientFill degree="270">
        <stop position="0">
          <color rgb="FF9B4CBA"/>
        </stop>
        <stop position="1">
          <color rgb="FF532963"/>
        </stop>
      </gradientFill>
    </fill>
    <fill>
      <patternFill patternType="solid">
        <fgColor rgb="FF5BE3F5"/>
        <bgColor rgb="FF000000"/>
      </patternFill>
    </fill>
    <fill>
      <patternFill patternType="solid">
        <fgColor rgb="FF0070C0"/>
        <bgColor rgb="FF000000"/>
      </patternFill>
    </fill>
    <fill>
      <patternFill patternType="solid">
        <fgColor rgb="FFBB0113"/>
        <bgColor rgb="FF000000"/>
      </patternFill>
    </fill>
    <fill>
      <patternFill patternType="solid">
        <fgColor rgb="FFFF0000"/>
        <bgColor rgb="FF000000"/>
      </patternFill>
    </fill>
    <fill>
      <patternFill patternType="solid">
        <fgColor rgb="FFFFF2CC"/>
        <bgColor rgb="FF000000"/>
      </patternFill>
    </fill>
    <fill>
      <patternFill patternType="solid">
        <fgColor rgb="FFFFFF00"/>
        <bgColor indexed="64"/>
      </patternFill>
    </fill>
    <fill>
      <patternFill patternType="solid">
        <fgColor theme="0" tint="-0.249977111117893"/>
        <bgColor indexed="64"/>
      </patternFill>
    </fill>
    <fill>
      <gradientFill degree="90">
        <stop position="0">
          <color theme="8" tint="-0.49803155613879818"/>
        </stop>
        <stop position="1">
          <color rgb="FF7030A0"/>
        </stop>
      </gradientFill>
    </fill>
    <fill>
      <patternFill patternType="solid">
        <fgColor rgb="FF7030A0"/>
        <bgColor rgb="FFBFBFBF"/>
      </patternFill>
    </fill>
    <fill>
      <gradientFill degree="90">
        <stop position="0">
          <color theme="9" tint="-0.25098422193060094"/>
        </stop>
        <stop position="1">
          <color theme="9" tint="0.40000610370189521"/>
        </stop>
      </gradientFill>
    </fill>
    <fill>
      <gradientFill degree="90">
        <stop position="0">
          <color theme="8" tint="-0.49803155613879818"/>
        </stop>
        <stop position="1">
          <color rgb="FFB531A8"/>
        </stop>
      </gradientFill>
    </fill>
    <fill>
      <patternFill patternType="solid">
        <fgColor rgb="FF7030A0"/>
        <bgColor rgb="FF000000"/>
      </patternFill>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s>
  <cellStyleXfs count="14">
    <xf numFmtId="0" fontId="0" fillId="0" borderId="0"/>
    <xf numFmtId="0" fontId="1" fillId="0" borderId="0"/>
    <xf numFmtId="0" fontId="10" fillId="0" borderId="0"/>
    <xf numFmtId="9" fontId="10" fillId="0" borderId="0" applyFont="0" applyFill="0" applyBorder="0" applyAlignment="0" applyProtection="0"/>
    <xf numFmtId="0" fontId="10" fillId="0" borderId="0"/>
    <xf numFmtId="42" fontId="1"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 fillId="0" borderId="0"/>
    <xf numFmtId="49" fontId="48" fillId="0" borderId="0" applyFill="0" applyBorder="0" applyProtection="0">
      <alignment horizontal="left" vertical="center"/>
    </xf>
    <xf numFmtId="41" fontId="1" fillId="0" borderId="0" applyFont="0" applyFill="0" applyBorder="0" applyAlignment="0" applyProtection="0"/>
    <xf numFmtId="0" fontId="10" fillId="0" borderId="0"/>
    <xf numFmtId="0" fontId="1" fillId="0" borderId="0"/>
    <xf numFmtId="9" fontId="1" fillId="0" borderId="0" applyFont="0" applyFill="0" applyBorder="0" applyAlignment="0" applyProtection="0"/>
  </cellStyleXfs>
  <cellXfs count="635">
    <xf numFmtId="0" fontId="0" fillId="0" borderId="0" xfId="0"/>
    <xf numFmtId="0" fontId="1" fillId="0" borderId="0" xfId="1"/>
    <xf numFmtId="0" fontId="4" fillId="2" borderId="0" xfId="1" applyFont="1" applyFill="1" applyAlignment="1">
      <alignment horizontal="center"/>
    </xf>
    <xf numFmtId="0" fontId="5" fillId="0" borderId="0" xfId="1" applyFont="1"/>
    <xf numFmtId="0" fontId="8" fillId="3" borderId="7" xfId="1" applyFont="1" applyFill="1" applyBorder="1" applyAlignment="1">
      <alignment horizontal="center" vertical="center" wrapText="1"/>
    </xf>
    <xf numFmtId="0" fontId="11" fillId="0" borderId="0" xfId="2" applyFont="1" applyAlignment="1">
      <alignment vertical="center" wrapText="1"/>
    </xf>
    <xf numFmtId="0" fontId="11" fillId="0" borderId="0" xfId="2" applyFont="1" applyAlignment="1">
      <alignment horizontal="center" vertical="center" wrapText="1"/>
    </xf>
    <xf numFmtId="0" fontId="13" fillId="0" borderId="0" xfId="2" applyFont="1" applyAlignment="1">
      <alignment horizontal="center" vertical="center" textRotation="45" wrapText="1"/>
    </xf>
    <xf numFmtId="0" fontId="14" fillId="0" borderId="0" xfId="2" applyFont="1" applyAlignment="1">
      <alignment horizontal="center" vertical="center" wrapText="1"/>
    </xf>
    <xf numFmtId="9" fontId="11" fillId="5" borderId="0" xfId="2" applyNumberFormat="1" applyFont="1" applyFill="1" applyAlignment="1">
      <alignment horizontal="center" vertical="center" wrapText="1"/>
    </xf>
    <xf numFmtId="0" fontId="15" fillId="6" borderId="1" xfId="2" applyFont="1" applyFill="1" applyBorder="1" applyAlignment="1">
      <alignment horizontal="left" vertical="center"/>
    </xf>
    <xf numFmtId="0" fontId="15" fillId="6" borderId="0" xfId="2" applyFont="1" applyFill="1" applyAlignment="1">
      <alignment horizontal="left" vertical="center"/>
    </xf>
    <xf numFmtId="9" fontId="11" fillId="7" borderId="0" xfId="2" applyNumberFormat="1" applyFont="1" applyFill="1" applyAlignment="1">
      <alignment horizontal="center" vertical="center" wrapText="1"/>
    </xf>
    <xf numFmtId="0" fontId="10" fillId="0" borderId="0" xfId="2" applyAlignment="1">
      <alignment vertical="center"/>
    </xf>
    <xf numFmtId="0" fontId="19" fillId="0" borderId="0" xfId="2" applyFont="1" applyAlignment="1">
      <alignment vertical="center"/>
    </xf>
    <xf numFmtId="0" fontId="25" fillId="12" borderId="7" xfId="2" applyFont="1" applyFill="1" applyBorder="1" applyAlignment="1">
      <alignment horizontal="center" vertical="center" wrapText="1"/>
    </xf>
    <xf numFmtId="164" fontId="26" fillId="0" borderId="7" xfId="2" applyNumberFormat="1" applyFont="1" applyBorder="1" applyAlignment="1">
      <alignment horizontal="center" vertical="center" wrapText="1"/>
    </xf>
    <xf numFmtId="164" fontId="16" fillId="8" borderId="14" xfId="2" applyNumberFormat="1" applyFont="1" applyFill="1" applyBorder="1" applyAlignment="1">
      <alignment vertical="center" wrapText="1"/>
    </xf>
    <xf numFmtId="9" fontId="25" fillId="0" borderId="7" xfId="2" applyNumberFormat="1" applyFont="1" applyBorder="1" applyAlignment="1">
      <alignment horizontal="center" vertical="center"/>
    </xf>
    <xf numFmtId="9" fontId="25" fillId="0" borderId="7" xfId="2" applyNumberFormat="1" applyFont="1" applyBorder="1" applyAlignment="1">
      <alignment horizontal="center" vertical="center" wrapText="1"/>
    </xf>
    <xf numFmtId="9" fontId="25" fillId="0" borderId="8" xfId="2" applyNumberFormat="1" applyFont="1" applyBorder="1" applyAlignment="1">
      <alignment horizontal="center" vertical="center" wrapText="1"/>
    </xf>
    <xf numFmtId="164" fontId="28" fillId="13" borderId="7" xfId="2" applyNumberFormat="1" applyFont="1" applyFill="1" applyBorder="1" applyAlignment="1">
      <alignment horizontal="center" vertical="center" wrapText="1"/>
    </xf>
    <xf numFmtId="9" fontId="29" fillId="14" borderId="7" xfId="2" applyNumberFormat="1" applyFont="1" applyFill="1" applyBorder="1" applyAlignment="1">
      <alignment horizontal="center" vertical="center" wrapText="1"/>
    </xf>
    <xf numFmtId="9" fontId="29" fillId="14" borderId="8" xfId="2" applyNumberFormat="1" applyFont="1" applyFill="1" applyBorder="1" applyAlignment="1">
      <alignment horizontal="center" vertical="center" wrapText="1"/>
    </xf>
    <xf numFmtId="9" fontId="25" fillId="2" borderId="7" xfId="2" applyNumberFormat="1" applyFont="1" applyFill="1" applyBorder="1" applyAlignment="1">
      <alignment horizontal="center" vertical="center" wrapText="1"/>
    </xf>
    <xf numFmtId="9" fontId="29" fillId="0" borderId="7" xfId="2" applyNumberFormat="1" applyFont="1" applyBorder="1" applyAlignment="1">
      <alignment horizontal="center" vertical="center" wrapText="1"/>
    </xf>
    <xf numFmtId="0" fontId="10" fillId="0" borderId="7" xfId="2" applyBorder="1" applyAlignment="1">
      <alignment vertical="center"/>
    </xf>
    <xf numFmtId="9" fontId="10" fillId="0" borderId="7" xfId="2" applyNumberFormat="1" applyBorder="1" applyAlignment="1">
      <alignment horizontal="center" vertical="center"/>
    </xf>
    <xf numFmtId="0" fontId="22" fillId="10" borderId="7" xfId="2" applyFont="1" applyFill="1" applyBorder="1" applyAlignment="1">
      <alignment horizontal="center" vertical="center" wrapText="1"/>
    </xf>
    <xf numFmtId="9" fontId="29" fillId="0" borderId="8" xfId="2" applyNumberFormat="1" applyFont="1" applyBorder="1" applyAlignment="1">
      <alignment horizontal="center" vertical="center" wrapText="1"/>
    </xf>
    <xf numFmtId="9" fontId="30" fillId="0" borderId="0" xfId="2" applyNumberFormat="1" applyFont="1" applyAlignment="1">
      <alignment horizontal="center" vertical="center"/>
    </xf>
    <xf numFmtId="0" fontId="10" fillId="0" borderId="9" xfId="2" applyBorder="1" applyAlignment="1">
      <alignment horizontal="justify" vertical="center"/>
    </xf>
    <xf numFmtId="164" fontId="10" fillId="0" borderId="9" xfId="2" applyNumberFormat="1" applyBorder="1" applyAlignment="1">
      <alignment horizontal="center" vertical="center"/>
    </xf>
    <xf numFmtId="164" fontId="10" fillId="0" borderId="9" xfId="3" applyNumberFormat="1" applyFont="1" applyBorder="1" applyAlignment="1">
      <alignment horizontal="center" vertical="center"/>
    </xf>
    <xf numFmtId="164" fontId="10" fillId="0" borderId="8" xfId="3" applyNumberFormat="1" applyFont="1" applyBorder="1" applyAlignment="1">
      <alignment horizontal="center" vertical="center"/>
    </xf>
    <xf numFmtId="164" fontId="10" fillId="0" borderId="0" xfId="3" applyNumberFormat="1" applyFont="1" applyBorder="1" applyAlignment="1">
      <alignment horizontal="center" vertical="center"/>
    </xf>
    <xf numFmtId="0" fontId="10" fillId="0" borderId="1" xfId="2" applyBorder="1" applyAlignment="1">
      <alignment horizontal="justify" vertical="center"/>
    </xf>
    <xf numFmtId="9" fontId="10" fillId="0" borderId="1" xfId="2" applyNumberFormat="1" applyBorder="1" applyAlignment="1">
      <alignment horizontal="center" vertical="center"/>
    </xf>
    <xf numFmtId="164" fontId="10" fillId="0" borderId="1" xfId="3" applyNumberFormat="1" applyFont="1" applyBorder="1" applyAlignment="1">
      <alignment horizontal="center" vertical="center"/>
    </xf>
    <xf numFmtId="164" fontId="10" fillId="0" borderId="5" xfId="3" applyNumberFormat="1" applyFont="1" applyBorder="1" applyAlignment="1">
      <alignment horizontal="center" vertical="center"/>
    </xf>
    <xf numFmtId="164" fontId="10" fillId="0" borderId="1" xfId="3" applyNumberFormat="1" applyFont="1" applyFill="1" applyBorder="1" applyAlignment="1">
      <alignment horizontal="center" vertical="center"/>
    </xf>
    <xf numFmtId="164" fontId="10" fillId="0" borderId="5" xfId="3" applyNumberFormat="1" applyFont="1" applyFill="1" applyBorder="1" applyAlignment="1">
      <alignment horizontal="center" vertical="center"/>
    </xf>
    <xf numFmtId="164" fontId="10" fillId="0" borderId="0" xfId="3" applyNumberFormat="1" applyFont="1" applyFill="1" applyBorder="1" applyAlignment="1">
      <alignment horizontal="center" vertical="center"/>
    </xf>
    <xf numFmtId="0" fontId="10" fillId="0" borderId="1" xfId="2" applyBorder="1" applyAlignment="1">
      <alignment vertical="center"/>
    </xf>
    <xf numFmtId="164" fontId="31" fillId="0" borderId="1" xfId="2" applyNumberFormat="1" applyFont="1" applyBorder="1" applyAlignment="1">
      <alignment horizontal="center" vertical="center" wrapText="1"/>
    </xf>
    <xf numFmtId="0" fontId="10" fillId="0" borderId="30" xfId="2" applyBorder="1" applyAlignment="1">
      <alignment horizontal="justify" vertical="center"/>
    </xf>
    <xf numFmtId="0" fontId="10" fillId="0" borderId="31" xfId="2" applyBorder="1" applyAlignment="1">
      <alignment vertical="center"/>
    </xf>
    <xf numFmtId="164" fontId="10" fillId="0" borderId="31" xfId="3" applyNumberFormat="1" applyFont="1" applyBorder="1" applyAlignment="1">
      <alignment horizontal="center" vertical="center"/>
    </xf>
    <xf numFmtId="164" fontId="10" fillId="0" borderId="17" xfId="3" applyNumberFormat="1" applyFont="1" applyBorder="1" applyAlignment="1">
      <alignment horizontal="center" vertical="center"/>
    </xf>
    <xf numFmtId="164" fontId="31" fillId="0" borderId="31" xfId="2" applyNumberFormat="1" applyFont="1" applyBorder="1" applyAlignment="1">
      <alignment horizontal="center" vertical="center" wrapText="1"/>
    </xf>
    <xf numFmtId="164" fontId="10" fillId="0" borderId="31" xfId="3" applyNumberFormat="1" applyFont="1" applyFill="1" applyBorder="1" applyAlignment="1">
      <alignment horizontal="center" vertical="center"/>
    </xf>
    <xf numFmtId="164" fontId="10" fillId="0" borderId="17" xfId="3" applyNumberFormat="1" applyFont="1" applyFill="1" applyBorder="1" applyAlignment="1">
      <alignment horizontal="center" vertical="center"/>
    </xf>
    <xf numFmtId="9" fontId="10" fillId="0" borderId="32" xfId="2" applyNumberFormat="1" applyBorder="1" applyAlignment="1">
      <alignment horizontal="center" vertical="center"/>
    </xf>
    <xf numFmtId="9" fontId="10" fillId="0" borderId="1" xfId="2" applyNumberFormat="1" applyBorder="1" applyAlignment="1">
      <alignment vertical="center"/>
    </xf>
    <xf numFmtId="0" fontId="10" fillId="0" borderId="31" xfId="2" applyBorder="1" applyAlignment="1">
      <alignment horizontal="justify" vertical="center"/>
    </xf>
    <xf numFmtId="164" fontId="10" fillId="0" borderId="30" xfId="3" applyNumberFormat="1" applyFont="1" applyFill="1" applyBorder="1" applyAlignment="1">
      <alignment horizontal="center" vertical="center"/>
    </xf>
    <xf numFmtId="164" fontId="33" fillId="0" borderId="1" xfId="3" applyNumberFormat="1" applyFont="1" applyBorder="1" applyAlignment="1">
      <alignment horizontal="center" vertical="center"/>
    </xf>
    <xf numFmtId="164" fontId="34" fillId="8" borderId="1" xfId="2" applyNumberFormat="1" applyFont="1" applyFill="1" applyBorder="1" applyAlignment="1">
      <alignment horizontal="center" vertical="center" wrapText="1"/>
    </xf>
    <xf numFmtId="164" fontId="33" fillId="0" borderId="5" xfId="3" applyNumberFormat="1" applyFont="1" applyBorder="1" applyAlignment="1">
      <alignment horizontal="center" vertical="center"/>
    </xf>
    <xf numFmtId="164" fontId="33" fillId="0" borderId="0" xfId="3" applyNumberFormat="1" applyFont="1" applyBorder="1" applyAlignment="1">
      <alignment horizontal="center" vertical="center"/>
    </xf>
    <xf numFmtId="164" fontId="34" fillId="8" borderId="5" xfId="2" applyNumberFormat="1" applyFont="1" applyFill="1" applyBorder="1" applyAlignment="1">
      <alignment horizontal="center" vertical="center" wrapText="1"/>
    </xf>
    <xf numFmtId="164" fontId="34" fillId="8" borderId="0" xfId="2" applyNumberFormat="1" applyFont="1" applyFill="1" applyAlignment="1">
      <alignment horizontal="center" vertical="center" wrapText="1"/>
    </xf>
    <xf numFmtId="0" fontId="33" fillId="0" borderId="1" xfId="2" applyFont="1" applyBorder="1" applyAlignment="1">
      <alignment horizontal="center" vertical="center"/>
    </xf>
    <xf numFmtId="0" fontId="33" fillId="0" borderId="5" xfId="2" applyFont="1" applyBorder="1" applyAlignment="1">
      <alignment horizontal="center" vertical="center"/>
    </xf>
    <xf numFmtId="0" fontId="33" fillId="0" borderId="0" xfId="2" applyFont="1" applyAlignment="1">
      <alignment horizontal="center" vertical="center"/>
    </xf>
    <xf numFmtId="0" fontId="10" fillId="0" borderId="1" xfId="2" applyBorder="1" applyAlignment="1">
      <alignment horizontal="right" vertical="center"/>
    </xf>
    <xf numFmtId="164" fontId="35" fillId="0" borderId="1" xfId="3" applyNumberFormat="1" applyFont="1" applyBorder="1" applyAlignment="1">
      <alignment horizontal="center" vertical="center"/>
    </xf>
    <xf numFmtId="9" fontId="10" fillId="0" borderId="0" xfId="2" applyNumberFormat="1" applyAlignment="1">
      <alignment vertical="center"/>
    </xf>
    <xf numFmtId="164" fontId="35" fillId="0" borderId="0" xfId="3" applyNumberFormat="1" applyFont="1" applyBorder="1" applyAlignment="1">
      <alignment horizontal="center" vertical="center"/>
    </xf>
    <xf numFmtId="164" fontId="36" fillId="8" borderId="33" xfId="2" applyNumberFormat="1" applyFont="1" applyFill="1" applyBorder="1" applyAlignment="1">
      <alignment horizontal="center" vertical="center" wrapText="1"/>
    </xf>
    <xf numFmtId="0" fontId="23" fillId="17" borderId="7" xfId="2" applyFont="1" applyFill="1" applyBorder="1" applyAlignment="1">
      <alignment horizontal="center" vertical="center" wrapText="1"/>
    </xf>
    <xf numFmtId="9" fontId="25" fillId="2" borderId="7" xfId="2" applyNumberFormat="1" applyFont="1" applyFill="1" applyBorder="1" applyAlignment="1">
      <alignment horizontal="center" vertical="center"/>
    </xf>
    <xf numFmtId="0" fontId="10" fillId="0" borderId="12" xfId="2" applyBorder="1" applyAlignment="1">
      <alignment horizontal="center" vertical="center"/>
    </xf>
    <xf numFmtId="164" fontId="29" fillId="0" borderId="7" xfId="2" applyNumberFormat="1" applyFont="1" applyBorder="1" applyAlignment="1">
      <alignment horizontal="center" vertical="center" wrapText="1"/>
    </xf>
    <xf numFmtId="164" fontId="25" fillId="2" borderId="7" xfId="2" applyNumberFormat="1" applyFont="1" applyFill="1" applyBorder="1" applyAlignment="1">
      <alignment horizontal="center" vertical="center"/>
    </xf>
    <xf numFmtId="164" fontId="25" fillId="0" borderId="7" xfId="2" applyNumberFormat="1" applyFont="1" applyBorder="1" applyAlignment="1">
      <alignment horizontal="center" vertical="center"/>
    </xf>
    <xf numFmtId="164" fontId="25" fillId="0" borderId="7" xfId="2" applyNumberFormat="1" applyFont="1" applyBorder="1" applyAlignment="1">
      <alignment horizontal="center" vertical="center" wrapText="1"/>
    </xf>
    <xf numFmtId="164" fontId="29" fillId="14" borderId="7" xfId="2" applyNumberFormat="1" applyFont="1" applyFill="1" applyBorder="1" applyAlignment="1">
      <alignment horizontal="center" vertical="center" wrapText="1"/>
    </xf>
    <xf numFmtId="9" fontId="10" fillId="0" borderId="7" xfId="2" applyNumberFormat="1" applyBorder="1" applyAlignment="1">
      <alignment vertical="center"/>
    </xf>
    <xf numFmtId="0" fontId="21" fillId="0" borderId="0" xfId="2" applyFont="1" applyAlignment="1">
      <alignment vertical="center"/>
    </xf>
    <xf numFmtId="0" fontId="12" fillId="4" borderId="0" xfId="2" applyFont="1" applyFill="1" applyAlignment="1">
      <alignment vertical="center"/>
    </xf>
    <xf numFmtId="0" fontId="22" fillId="0" borderId="10" xfId="2" applyFont="1" applyBorder="1" applyAlignment="1">
      <alignment vertical="center" wrapText="1"/>
    </xf>
    <xf numFmtId="0" fontId="22" fillId="0" borderId="7" xfId="2" applyFont="1" applyBorder="1" applyAlignment="1">
      <alignment vertical="center" wrapText="1"/>
    </xf>
    <xf numFmtId="0" fontId="22" fillId="0" borderId="7" xfId="2" applyFont="1" applyBorder="1" applyAlignment="1">
      <alignment horizontal="center" vertical="center" wrapText="1"/>
    </xf>
    <xf numFmtId="0" fontId="10" fillId="0" borderId="7" xfId="2" applyBorder="1" applyAlignment="1" applyProtection="1">
      <alignment horizontal="center" vertical="center" wrapText="1"/>
      <protection locked="0"/>
    </xf>
    <xf numFmtId="42" fontId="22" fillId="0" borderId="7" xfId="5" applyFont="1" applyFill="1" applyBorder="1" applyAlignment="1">
      <alignment vertical="center" wrapText="1"/>
    </xf>
    <xf numFmtId="9" fontId="22" fillId="0" borderId="7" xfId="3" applyFont="1" applyFill="1" applyBorder="1" applyAlignment="1">
      <alignment vertical="center" wrapText="1"/>
    </xf>
    <xf numFmtId="42" fontId="22" fillId="0" borderId="7" xfId="6" applyFont="1" applyFill="1" applyBorder="1" applyAlignment="1">
      <alignment vertical="center" wrapText="1"/>
    </xf>
    <xf numFmtId="0" fontId="22" fillId="0" borderId="8" xfId="2" applyFont="1" applyBorder="1" applyAlignment="1">
      <alignment vertical="center" wrapText="1"/>
    </xf>
    <xf numFmtId="0" fontId="22" fillId="0" borderId="40" xfId="2" applyFont="1" applyBorder="1" applyAlignment="1">
      <alignment vertical="center" wrapText="1"/>
    </xf>
    <xf numFmtId="42" fontId="22" fillId="0" borderId="10" xfId="2" applyNumberFormat="1" applyFont="1" applyBorder="1" applyAlignment="1">
      <alignment vertical="center" wrapText="1"/>
    </xf>
    <xf numFmtId="0" fontId="10" fillId="0" borderId="7" xfId="2" applyBorder="1" applyAlignment="1">
      <alignment vertical="center" wrapText="1"/>
    </xf>
    <xf numFmtId="0" fontId="22" fillId="0" borderId="41" xfId="2" applyFont="1" applyBorder="1" applyAlignment="1">
      <alignment vertical="center" wrapText="1"/>
    </xf>
    <xf numFmtId="0" fontId="10" fillId="0" borderId="7" xfId="2" applyBorder="1" applyAlignment="1" applyProtection="1">
      <alignment horizontal="center" vertical="center"/>
      <protection locked="0"/>
    </xf>
    <xf numFmtId="42" fontId="0" fillId="0" borderId="7" xfId="6" applyFont="1" applyFill="1" applyBorder="1" applyAlignment="1">
      <alignment vertical="center"/>
    </xf>
    <xf numFmtId="0" fontId="22" fillId="0" borderId="27" xfId="2" applyFont="1" applyBorder="1" applyAlignment="1">
      <alignment vertical="center" wrapText="1"/>
    </xf>
    <xf numFmtId="42" fontId="22" fillId="0" borderId="7" xfId="2" applyNumberFormat="1" applyFont="1" applyBorder="1" applyAlignment="1">
      <alignment vertical="center" wrapText="1"/>
    </xf>
    <xf numFmtId="0" fontId="22" fillId="0" borderId="7" xfId="2" applyFont="1" applyBorder="1" applyAlignment="1" applyProtection="1">
      <alignment horizontal="center" vertical="center"/>
      <protection locked="0"/>
    </xf>
    <xf numFmtId="42" fontId="10" fillId="0" borderId="7" xfId="2" applyNumberFormat="1" applyBorder="1" applyAlignment="1">
      <alignment vertical="center"/>
    </xf>
    <xf numFmtId="0" fontId="10" fillId="0" borderId="7" xfId="2" applyBorder="1" applyAlignment="1" applyProtection="1">
      <alignment vertical="center" wrapText="1"/>
      <protection locked="0"/>
    </xf>
    <xf numFmtId="0" fontId="10" fillId="0" borderId="7" xfId="2" applyBorder="1" applyAlignment="1">
      <alignment horizontal="center" vertical="center" wrapText="1"/>
    </xf>
    <xf numFmtId="42" fontId="22" fillId="0" borderId="7" xfId="7" applyNumberFormat="1" applyFont="1" applyFill="1" applyBorder="1" applyAlignment="1">
      <alignment vertical="center" wrapText="1"/>
    </xf>
    <xf numFmtId="9" fontId="22" fillId="0" borderId="7" xfId="2" applyNumberFormat="1" applyFont="1" applyBorder="1" applyAlignment="1">
      <alignment vertical="center" wrapText="1"/>
    </xf>
    <xf numFmtId="42" fontId="22" fillId="0" borderId="8" xfId="2" applyNumberFormat="1" applyFont="1" applyBorder="1" applyAlignment="1">
      <alignment vertical="center" wrapText="1"/>
    </xf>
    <xf numFmtId="0" fontId="24" fillId="0" borderId="7" xfId="8" applyFont="1" applyBorder="1" applyAlignment="1">
      <alignment vertical="center" wrapText="1"/>
    </xf>
    <xf numFmtId="1" fontId="0" fillId="0" borderId="7" xfId="9" applyNumberFormat="1" applyFont="1" applyFill="1" applyBorder="1" applyAlignment="1" applyProtection="1">
      <alignment horizontal="center" vertical="center"/>
    </xf>
    <xf numFmtId="0" fontId="24" fillId="0" borderId="7" xfId="2" applyFont="1" applyBorder="1" applyAlignment="1">
      <alignment vertical="center"/>
    </xf>
    <xf numFmtId="49" fontId="0" fillId="0" borderId="7" xfId="9" applyFont="1" applyFill="1" applyBorder="1" applyAlignment="1" applyProtection="1">
      <alignment vertical="center" wrapText="1"/>
    </xf>
    <xf numFmtId="0" fontId="22" fillId="0" borderId="0" xfId="2" applyFont="1" applyAlignment="1">
      <alignment vertical="center"/>
    </xf>
    <xf numFmtId="6" fontId="22" fillId="0" borderId="7" xfId="2" applyNumberFormat="1" applyFont="1" applyBorder="1" applyAlignment="1">
      <alignment vertical="center" wrapText="1"/>
    </xf>
    <xf numFmtId="0" fontId="3" fillId="0" borderId="7" xfId="2" applyFont="1" applyBorder="1" applyAlignment="1">
      <alignment vertical="center" wrapText="1"/>
    </xf>
    <xf numFmtId="0" fontId="49" fillId="0" borderId="7" xfId="2" applyFont="1" applyBorder="1" applyAlignment="1">
      <alignment vertical="center" wrapText="1"/>
    </xf>
    <xf numFmtId="0" fontId="22" fillId="0" borderId="7" xfId="2" applyFont="1" applyBorder="1" applyAlignment="1">
      <alignment horizontal="center" vertical="center"/>
    </xf>
    <xf numFmtId="9" fontId="2" fillId="0" borderId="7" xfId="3" applyFont="1" applyFill="1" applyBorder="1" applyAlignment="1">
      <alignment vertical="center" wrapText="1"/>
    </xf>
    <xf numFmtId="42" fontId="24" fillId="0" borderId="7" xfId="6" applyFont="1" applyFill="1" applyBorder="1" applyAlignment="1">
      <alignment vertical="center" wrapText="1"/>
    </xf>
    <xf numFmtId="0" fontId="22" fillId="0" borderId="42" xfId="2" applyFont="1" applyBorder="1" applyAlignment="1">
      <alignment vertical="center" wrapText="1"/>
    </xf>
    <xf numFmtId="0" fontId="22" fillId="0" borderId="42" xfId="2" applyFont="1" applyBorder="1" applyAlignment="1">
      <alignment horizontal="center" vertical="center" wrapText="1"/>
    </xf>
    <xf numFmtId="0" fontId="10" fillId="0" borderId="42" xfId="2" applyBorder="1" applyAlignment="1" applyProtection="1">
      <alignment horizontal="center" vertical="center" wrapText="1"/>
      <protection locked="0"/>
    </xf>
    <xf numFmtId="42" fontId="22" fillId="0" borderId="42" xfId="6" applyFont="1" applyFill="1" applyBorder="1" applyAlignment="1">
      <alignment vertical="center" wrapText="1"/>
    </xf>
    <xf numFmtId="9" fontId="22" fillId="0" borderId="42" xfId="3" applyFont="1" applyFill="1" applyBorder="1" applyAlignment="1">
      <alignment vertical="center" wrapText="1"/>
    </xf>
    <xf numFmtId="42" fontId="22" fillId="0" borderId="42" xfId="2" applyNumberFormat="1" applyFont="1" applyBorder="1" applyAlignment="1">
      <alignment vertical="center" wrapText="1"/>
    </xf>
    <xf numFmtId="0" fontId="3" fillId="0" borderId="42" xfId="2" applyFont="1" applyBorder="1" applyAlignment="1">
      <alignment vertical="center" wrapText="1"/>
    </xf>
    <xf numFmtId="0" fontId="10" fillId="0" borderId="42" xfId="2" applyBorder="1" applyAlignment="1">
      <alignment vertical="center" wrapText="1"/>
    </xf>
    <xf numFmtId="0" fontId="54" fillId="0" borderId="42" xfId="2" applyFont="1" applyBorder="1" applyAlignment="1">
      <alignment vertical="center" wrapText="1"/>
    </xf>
    <xf numFmtId="0" fontId="22" fillId="0" borderId="42" xfId="2" applyFont="1" applyBorder="1" applyAlignment="1">
      <alignment horizontal="center" vertical="center"/>
    </xf>
    <xf numFmtId="1" fontId="22" fillId="0" borderId="7" xfId="2" applyNumberFormat="1" applyFont="1" applyBorder="1" applyAlignment="1">
      <alignment horizontal="center" vertical="center" wrapText="1"/>
    </xf>
    <xf numFmtId="0" fontId="22" fillId="0" borderId="7" xfId="2" applyFont="1" applyBorder="1" applyAlignment="1">
      <alignment vertical="center"/>
    </xf>
    <xf numFmtId="9" fontId="24" fillId="0" borderId="7" xfId="3" applyFont="1" applyFill="1" applyBorder="1" applyAlignment="1">
      <alignment vertical="center" wrapText="1"/>
    </xf>
    <xf numFmtId="42" fontId="0" fillId="0" borderId="7" xfId="6" applyFont="1" applyFill="1" applyBorder="1" applyAlignment="1">
      <alignment vertical="center" wrapText="1"/>
    </xf>
    <xf numFmtId="9" fontId="0" fillId="0" borderId="7" xfId="3" applyFont="1" applyFill="1" applyBorder="1" applyAlignment="1">
      <alignment vertical="center" wrapText="1"/>
    </xf>
    <xf numFmtId="0" fontId="10" fillId="0" borderId="8" xfId="2" applyBorder="1" applyAlignment="1">
      <alignment vertical="center" wrapText="1"/>
    </xf>
    <xf numFmtId="49" fontId="0" fillId="0" borderId="7" xfId="9" applyFont="1" applyFill="1" applyBorder="1" applyAlignment="1" applyProtection="1">
      <alignment horizontal="center" vertical="center"/>
    </xf>
    <xf numFmtId="0" fontId="24" fillId="0" borderId="7" xfId="2" applyFont="1" applyBorder="1" applyAlignment="1">
      <alignment vertical="center" wrapText="1"/>
    </xf>
    <xf numFmtId="0" fontId="24" fillId="0" borderId="7" xfId="2" applyFont="1" applyBorder="1" applyAlignment="1" applyProtection="1">
      <alignment horizontal="center" vertical="center" wrapText="1"/>
      <protection locked="0"/>
    </xf>
    <xf numFmtId="0" fontId="24" fillId="0" borderId="0" xfId="2" applyFont="1" applyAlignment="1">
      <alignment vertical="center" wrapText="1"/>
    </xf>
    <xf numFmtId="0" fontId="24" fillId="0" borderId="7" xfId="2" applyFont="1" applyBorder="1" applyAlignment="1" applyProtection="1">
      <alignment vertical="center" wrapText="1"/>
      <protection locked="0"/>
    </xf>
    <xf numFmtId="42" fontId="0" fillId="0" borderId="7" xfId="10" applyNumberFormat="1" applyFont="1" applyFill="1" applyBorder="1" applyAlignment="1" applyProtection="1">
      <alignment vertical="center" wrapText="1"/>
      <protection locked="0"/>
    </xf>
    <xf numFmtId="9" fontId="10" fillId="0" borderId="7" xfId="2" applyNumberFormat="1" applyBorder="1" applyAlignment="1" applyProtection="1">
      <alignment vertical="center" wrapText="1"/>
      <protection locked="0"/>
    </xf>
    <xf numFmtId="42" fontId="10" fillId="0" borderId="7" xfId="2" applyNumberFormat="1" applyBorder="1" applyAlignment="1">
      <alignment vertical="center" wrapText="1"/>
    </xf>
    <xf numFmtId="0" fontId="0" fillId="0" borderId="7" xfId="9" applyNumberFormat="1" applyFont="1" applyFill="1" applyBorder="1" applyAlignment="1" applyProtection="1">
      <alignment horizontal="center" vertical="center" wrapText="1"/>
    </xf>
    <xf numFmtId="0" fontId="24" fillId="0" borderId="7" xfId="2" applyFont="1" applyBorder="1" applyAlignment="1">
      <alignment horizontal="center" vertical="center" wrapText="1"/>
    </xf>
    <xf numFmtId="49" fontId="22" fillId="0" borderId="7" xfId="2" applyNumberFormat="1" applyFont="1" applyBorder="1" applyAlignment="1">
      <alignment horizontal="center" vertical="center" wrapText="1"/>
    </xf>
    <xf numFmtId="49" fontId="22" fillId="0" borderId="7" xfId="2" applyNumberFormat="1" applyFont="1" applyBorder="1" applyAlignment="1">
      <alignment vertical="center" wrapText="1"/>
    </xf>
    <xf numFmtId="49" fontId="0" fillId="0" borderId="7" xfId="9" applyFont="1" applyFill="1" applyBorder="1" applyAlignment="1" applyProtection="1">
      <alignment horizontal="center" vertical="center" wrapText="1"/>
    </xf>
    <xf numFmtId="42" fontId="22" fillId="0" borderId="13" xfId="2" applyNumberFormat="1" applyFont="1" applyBorder="1" applyAlignment="1">
      <alignment vertical="center" wrapText="1"/>
    </xf>
    <xf numFmtId="42" fontId="22" fillId="0" borderId="40" xfId="2" applyNumberFormat="1" applyFont="1" applyBorder="1" applyAlignment="1">
      <alignment vertical="center" wrapText="1"/>
    </xf>
    <xf numFmtId="42" fontId="22" fillId="0" borderId="43" xfId="2" applyNumberFormat="1" applyFont="1" applyBorder="1" applyAlignment="1">
      <alignment vertical="center" wrapText="1"/>
    </xf>
    <xf numFmtId="49" fontId="0" fillId="0" borderId="7" xfId="9" applyFont="1" applyFill="1" applyBorder="1" applyAlignment="1">
      <alignment horizontal="center" vertical="center"/>
    </xf>
    <xf numFmtId="42" fontId="22" fillId="0" borderId="5" xfId="2" applyNumberFormat="1" applyFont="1" applyBorder="1" applyAlignment="1">
      <alignment vertical="center" wrapText="1"/>
    </xf>
    <xf numFmtId="49" fontId="0" fillId="0" borderId="7" xfId="9" applyFont="1" applyFill="1" applyBorder="1" applyAlignment="1">
      <alignment vertical="center"/>
    </xf>
    <xf numFmtId="0" fontId="10" fillId="0" borderId="10" xfId="2" applyBorder="1" applyAlignment="1">
      <alignment vertical="center" wrapText="1"/>
    </xf>
    <xf numFmtId="1" fontId="10" fillId="0" borderId="7" xfId="2" applyNumberFormat="1" applyBorder="1" applyAlignment="1">
      <alignment horizontal="center" vertical="center" wrapText="1"/>
    </xf>
    <xf numFmtId="49" fontId="10" fillId="0" borderId="7" xfId="2" applyNumberFormat="1" applyBorder="1" applyAlignment="1">
      <alignment vertical="center" wrapText="1"/>
    </xf>
    <xf numFmtId="165" fontId="10" fillId="0" borderId="7" xfId="2" applyNumberFormat="1" applyBorder="1" applyAlignment="1">
      <alignment vertical="center" wrapText="1"/>
    </xf>
    <xf numFmtId="9" fontId="10" fillId="0" borderId="7" xfId="2" applyNumberFormat="1" applyBorder="1" applyAlignment="1">
      <alignment vertical="center" wrapText="1"/>
    </xf>
    <xf numFmtId="1" fontId="10" fillId="0" borderId="7" xfId="2" applyNumberFormat="1" applyBorder="1" applyAlignment="1">
      <alignment horizontal="center" vertical="center"/>
    </xf>
    <xf numFmtId="1" fontId="24" fillId="0" borderId="7" xfId="2" applyNumberFormat="1" applyFont="1" applyBorder="1" applyAlignment="1">
      <alignment horizontal="center" vertical="center" wrapText="1"/>
    </xf>
    <xf numFmtId="0" fontId="22" fillId="0" borderId="0" xfId="2" applyFont="1" applyAlignment="1">
      <alignment vertical="center" wrapText="1"/>
    </xf>
    <xf numFmtId="1" fontId="0" fillId="0" borderId="7" xfId="9" applyNumberFormat="1" applyFont="1" applyFill="1" applyBorder="1" applyAlignment="1">
      <alignment horizontal="center" vertical="center"/>
    </xf>
    <xf numFmtId="42" fontId="2" fillId="0" borderId="7" xfId="6" applyFont="1" applyFill="1" applyBorder="1" applyAlignment="1">
      <alignment vertical="center" wrapText="1"/>
    </xf>
    <xf numFmtId="42" fontId="2" fillId="0" borderId="7" xfId="2" applyNumberFormat="1" applyFont="1" applyBorder="1" applyAlignment="1">
      <alignment vertical="center" wrapText="1"/>
    </xf>
    <xf numFmtId="0" fontId="0" fillId="0" borderId="7" xfId="8" applyFont="1" applyBorder="1" applyAlignment="1">
      <alignment vertical="center" wrapText="1"/>
    </xf>
    <xf numFmtId="0" fontId="10" fillId="0" borderId="44" xfId="2" applyBorder="1" applyAlignment="1">
      <alignment vertical="center" wrapText="1"/>
    </xf>
    <xf numFmtId="0" fontId="10" fillId="0" borderId="45" xfId="2" applyBorder="1" applyAlignment="1">
      <alignment vertical="center" wrapText="1"/>
    </xf>
    <xf numFmtId="1" fontId="10" fillId="0" borderId="45" xfId="2" applyNumberFormat="1" applyBorder="1" applyAlignment="1">
      <alignment horizontal="center" vertical="center" wrapText="1"/>
    </xf>
    <xf numFmtId="49" fontId="10" fillId="0" borderId="45" xfId="2" applyNumberFormat="1" applyBorder="1" applyAlignment="1">
      <alignment vertical="center" wrapText="1"/>
    </xf>
    <xf numFmtId="0" fontId="10" fillId="0" borderId="45" xfId="2" applyBorder="1" applyAlignment="1">
      <alignment horizontal="center" vertical="center" wrapText="1"/>
    </xf>
    <xf numFmtId="0" fontId="22" fillId="0" borderId="45" xfId="2" applyFont="1" applyBorder="1" applyAlignment="1">
      <alignment horizontal="center" vertical="center" wrapText="1"/>
    </xf>
    <xf numFmtId="42" fontId="0" fillId="0" borderId="45" xfId="6" applyFont="1" applyFill="1" applyBorder="1" applyAlignment="1">
      <alignment vertical="center" wrapText="1"/>
    </xf>
    <xf numFmtId="9" fontId="10" fillId="0" borderId="45" xfId="2" applyNumberFormat="1" applyBorder="1" applyAlignment="1">
      <alignment vertical="center" wrapText="1"/>
    </xf>
    <xf numFmtId="42" fontId="10" fillId="0" borderId="45" xfId="2" applyNumberFormat="1" applyBorder="1" applyAlignment="1">
      <alignment vertical="center" wrapText="1"/>
    </xf>
    <xf numFmtId="0" fontId="10" fillId="0" borderId="13" xfId="2" applyBorder="1" applyAlignment="1">
      <alignment vertical="center" wrapText="1"/>
    </xf>
    <xf numFmtId="1" fontId="10" fillId="0" borderId="13" xfId="2" applyNumberFormat="1" applyBorder="1" applyAlignment="1">
      <alignment horizontal="center" vertical="center" wrapText="1"/>
    </xf>
    <xf numFmtId="49" fontId="10" fillId="0" borderId="13" xfId="2" applyNumberFormat="1" applyBorder="1" applyAlignment="1">
      <alignment vertical="center" wrapText="1"/>
    </xf>
    <xf numFmtId="0" fontId="22" fillId="0" borderId="13" xfId="2" applyFont="1" applyBorder="1" applyAlignment="1">
      <alignment horizontal="center" vertical="center" wrapText="1"/>
    </xf>
    <xf numFmtId="0" fontId="10" fillId="0" borderId="13" xfId="2" applyBorder="1" applyAlignment="1">
      <alignment horizontal="center" vertical="center" wrapText="1"/>
    </xf>
    <xf numFmtId="42" fontId="0" fillId="0" borderId="13" xfId="6" applyFont="1" applyFill="1" applyBorder="1" applyAlignment="1">
      <alignment vertical="center" wrapText="1"/>
    </xf>
    <xf numFmtId="42" fontId="10" fillId="0" borderId="13" xfId="2" applyNumberFormat="1" applyBorder="1" applyAlignment="1">
      <alignment vertical="center" wrapText="1"/>
    </xf>
    <xf numFmtId="0" fontId="44" fillId="18" borderId="46" xfId="2" applyFont="1" applyFill="1" applyBorder="1" applyAlignment="1">
      <alignment horizontal="left" vertical="center" wrapText="1"/>
    </xf>
    <xf numFmtId="0" fontId="44" fillId="18" borderId="15" xfId="2" applyFont="1" applyFill="1" applyBorder="1" applyAlignment="1">
      <alignment horizontal="right" vertical="center" wrapText="1"/>
    </xf>
    <xf numFmtId="0" fontId="44" fillId="2" borderId="15" xfId="2" applyFont="1" applyFill="1" applyBorder="1" applyAlignment="1">
      <alignment horizontal="right" vertical="center" wrapText="1"/>
    </xf>
    <xf numFmtId="0" fontId="24" fillId="2" borderId="15" xfId="2" applyFont="1" applyFill="1" applyBorder="1" applyAlignment="1">
      <alignment horizontal="left" vertical="center" wrapText="1"/>
    </xf>
    <xf numFmtId="0" fontId="44" fillId="2" borderId="15" xfId="2" applyFont="1" applyFill="1" applyBorder="1" applyAlignment="1">
      <alignment horizontal="left" vertical="center" wrapText="1"/>
    </xf>
    <xf numFmtId="0" fontId="44" fillId="19" borderId="15" xfId="2" applyFont="1" applyFill="1" applyBorder="1" applyAlignment="1">
      <alignment horizontal="right" vertical="center" wrapText="1"/>
    </xf>
    <xf numFmtId="0" fontId="44" fillId="19" borderId="15" xfId="2" applyFont="1" applyFill="1" applyBorder="1" applyAlignment="1">
      <alignment horizontal="left" vertical="center" wrapText="1"/>
    </xf>
    <xf numFmtId="0" fontId="24" fillId="19" borderId="15" xfId="2" applyFont="1" applyFill="1" applyBorder="1" applyAlignment="1">
      <alignment horizontal="right" vertical="center" wrapText="1"/>
    </xf>
    <xf numFmtId="42" fontId="44" fillId="19" borderId="15" xfId="2" applyNumberFormat="1" applyFont="1" applyFill="1" applyBorder="1" applyAlignment="1">
      <alignment horizontal="left" vertical="center" wrapText="1"/>
    </xf>
    <xf numFmtId="0" fontId="44" fillId="20" borderId="15" xfId="2" applyFont="1" applyFill="1" applyBorder="1" applyAlignment="1">
      <alignment horizontal="left" vertical="center" wrapText="1"/>
    </xf>
    <xf numFmtId="42" fontId="55" fillId="2" borderId="15" xfId="2" applyNumberFormat="1" applyFont="1" applyFill="1" applyBorder="1" applyAlignment="1">
      <alignment horizontal="left" vertical="center" wrapText="1"/>
    </xf>
    <xf numFmtId="0" fontId="24" fillId="0" borderId="0" xfId="2" applyFont="1" applyAlignment="1">
      <alignment horizontal="left"/>
    </xf>
    <xf numFmtId="0" fontId="24" fillId="0" borderId="0" xfId="2" applyFont="1" applyAlignment="1">
      <alignment horizontal="right"/>
    </xf>
    <xf numFmtId="0" fontId="22" fillId="10" borderId="13" xfId="2" applyFont="1" applyFill="1" applyBorder="1" applyAlignment="1">
      <alignment horizontal="center" vertical="center" wrapText="1"/>
    </xf>
    <xf numFmtId="0" fontId="23" fillId="11" borderId="13" xfId="2" applyFont="1" applyFill="1" applyBorder="1" applyAlignment="1">
      <alignment horizontal="center" vertical="center" wrapText="1"/>
    </xf>
    <xf numFmtId="0" fontId="23" fillId="11" borderId="27" xfId="2" applyFont="1" applyFill="1" applyBorder="1" applyAlignment="1">
      <alignment horizontal="center" vertical="center" wrapText="1"/>
    </xf>
    <xf numFmtId="9" fontId="61" fillId="0" borderId="7" xfId="2" applyNumberFormat="1" applyFont="1" applyBorder="1" applyAlignment="1">
      <alignment horizontal="center" vertical="center" wrapText="1"/>
    </xf>
    <xf numFmtId="9" fontId="69" fillId="0" borderId="7" xfId="2" applyNumberFormat="1" applyFont="1" applyBorder="1" applyAlignment="1">
      <alignment horizontal="center" vertical="center" wrapText="1"/>
    </xf>
    <xf numFmtId="0" fontId="25" fillId="12" borderId="10" xfId="2" applyFont="1" applyFill="1" applyBorder="1" applyAlignment="1">
      <alignment horizontal="center" vertical="center" wrapText="1"/>
    </xf>
    <xf numFmtId="0" fontId="22" fillId="0" borderId="2" xfId="1" applyFont="1" applyBorder="1"/>
    <xf numFmtId="0" fontId="22" fillId="0" borderId="3" xfId="1" applyFont="1" applyBorder="1"/>
    <xf numFmtId="0" fontId="22" fillId="0" borderId="0" xfId="1" applyFont="1"/>
    <xf numFmtId="0" fontId="70" fillId="10" borderId="0" xfId="1" applyFont="1" applyFill="1" applyAlignment="1">
      <alignment horizontal="center" vertical="center" wrapText="1"/>
    </xf>
    <xf numFmtId="0" fontId="71" fillId="0" borderId="0" xfId="1" applyFont="1" applyAlignment="1">
      <alignment horizontal="center" vertical="center"/>
    </xf>
    <xf numFmtId="0" fontId="23" fillId="6" borderId="49" xfId="1" applyFont="1" applyFill="1" applyBorder="1" applyAlignment="1">
      <alignment horizontal="center" vertical="center" wrapText="1"/>
    </xf>
    <xf numFmtId="0" fontId="64" fillId="10" borderId="7" xfId="1" applyFont="1" applyFill="1" applyBorder="1" applyAlignment="1">
      <alignment horizontal="center" vertical="center" wrapText="1"/>
    </xf>
    <xf numFmtId="0" fontId="75" fillId="0" borderId="7" xfId="1" applyFont="1" applyBorder="1" applyAlignment="1">
      <alignment horizontal="center" vertical="center" wrapText="1"/>
    </xf>
    <xf numFmtId="0" fontId="75" fillId="10" borderId="7" xfId="1" applyFont="1" applyFill="1" applyBorder="1" applyAlignment="1">
      <alignment horizontal="center" vertical="center" wrapText="1"/>
    </xf>
    <xf numFmtId="0" fontId="64" fillId="0" borderId="7" xfId="1" applyFont="1" applyBorder="1" applyAlignment="1">
      <alignment horizontal="center" vertical="center" wrapText="1"/>
    </xf>
    <xf numFmtId="0" fontId="75" fillId="10" borderId="28" xfId="1" applyFont="1" applyFill="1" applyBorder="1" applyAlignment="1">
      <alignment horizontal="center" vertical="center" wrapText="1"/>
    </xf>
    <xf numFmtId="0" fontId="71" fillId="0" borderId="0" xfId="1" applyFont="1"/>
    <xf numFmtId="0" fontId="71" fillId="0" borderId="0" xfId="1" applyFont="1" applyAlignment="1">
      <alignment wrapText="1"/>
    </xf>
    <xf numFmtId="0" fontId="36" fillId="0" borderId="0" xfId="1" applyFont="1"/>
    <xf numFmtId="0" fontId="46" fillId="0" borderId="31" xfId="2" applyFont="1" applyBorder="1" applyAlignment="1">
      <alignment vertical="center" wrapText="1"/>
    </xf>
    <xf numFmtId="0" fontId="75" fillId="10" borderId="27" xfId="1" applyFont="1" applyFill="1" applyBorder="1" applyAlignment="1">
      <alignment horizontal="center" vertical="center" wrapText="1"/>
    </xf>
    <xf numFmtId="164" fontId="29" fillId="14" borderId="8" xfId="2" applyNumberFormat="1" applyFont="1" applyFill="1" applyBorder="1" applyAlignment="1">
      <alignment horizontal="center" vertical="center" wrapText="1"/>
    </xf>
    <xf numFmtId="0" fontId="23" fillId="18" borderId="7" xfId="2" applyFont="1" applyFill="1" applyBorder="1" applyAlignment="1">
      <alignment horizontal="center" vertical="center" wrapText="1"/>
    </xf>
    <xf numFmtId="164" fontId="61" fillId="0" borderId="7" xfId="2" applyNumberFormat="1" applyFont="1" applyBorder="1" applyAlignment="1">
      <alignment horizontal="center" vertical="center" wrapText="1"/>
    </xf>
    <xf numFmtId="9" fontId="10" fillId="0" borderId="0" xfId="2" applyNumberFormat="1" applyAlignment="1">
      <alignment vertical="center" wrapText="1"/>
    </xf>
    <xf numFmtId="0" fontId="15" fillId="6" borderId="0" xfId="2" applyFont="1" applyFill="1" applyAlignment="1">
      <alignment horizontal="center" vertical="center"/>
    </xf>
    <xf numFmtId="164" fontId="16" fillId="8" borderId="7" xfId="2" applyNumberFormat="1" applyFont="1" applyFill="1" applyBorder="1" applyAlignment="1">
      <alignment horizontal="center" vertical="center" wrapText="1"/>
    </xf>
    <xf numFmtId="0" fontId="10" fillId="0" borderId="0" xfId="2" applyAlignment="1">
      <alignment horizontal="center" vertical="center"/>
    </xf>
    <xf numFmtId="164" fontId="16" fillId="8" borderId="27" xfId="2" applyNumberFormat="1" applyFont="1" applyFill="1" applyBorder="1" applyAlignment="1">
      <alignment horizontal="center" vertical="center" wrapText="1"/>
    </xf>
    <xf numFmtId="0" fontId="12" fillId="22" borderId="3" xfId="2" applyFont="1" applyFill="1" applyBorder="1" applyAlignment="1">
      <alignment horizontal="left" vertical="center"/>
    </xf>
    <xf numFmtId="0" fontId="81" fillId="30" borderId="7" xfId="2" applyFont="1" applyFill="1" applyBorder="1" applyAlignment="1">
      <alignment vertical="center" wrapText="1"/>
    </xf>
    <xf numFmtId="0" fontId="20" fillId="32" borderId="14" xfId="2" applyFont="1" applyFill="1" applyBorder="1" applyAlignment="1">
      <alignment horizontal="center" vertical="center" wrapText="1"/>
    </xf>
    <xf numFmtId="0" fontId="20" fillId="32" borderId="13" xfId="2" applyFont="1" applyFill="1" applyBorder="1" applyAlignment="1">
      <alignment horizontal="center" vertical="center" wrapText="1"/>
    </xf>
    <xf numFmtId="0" fontId="41" fillId="32" borderId="7" xfId="2" applyFont="1" applyFill="1" applyBorder="1" applyAlignment="1">
      <alignment horizontal="center" vertical="center"/>
    </xf>
    <xf numFmtId="0" fontId="16" fillId="33" borderId="51" xfId="2" applyFont="1" applyFill="1" applyBorder="1" applyAlignment="1">
      <alignment horizontal="center" vertical="center" wrapText="1"/>
    </xf>
    <xf numFmtId="164" fontId="16" fillId="8" borderId="15" xfId="2" applyNumberFormat="1" applyFont="1" applyFill="1" applyBorder="1" applyAlignment="1">
      <alignment vertical="center" wrapText="1"/>
    </xf>
    <xf numFmtId="9" fontId="25" fillId="0" borderId="27" xfId="2" applyNumberFormat="1" applyFont="1" applyBorder="1" applyAlignment="1">
      <alignment horizontal="center" vertical="center"/>
    </xf>
    <xf numFmtId="9" fontId="25" fillId="0" borderId="27" xfId="2" applyNumberFormat="1" applyFont="1" applyBorder="1" applyAlignment="1">
      <alignment horizontal="center" vertical="center" wrapText="1"/>
    </xf>
    <xf numFmtId="164" fontId="26" fillId="0" borderId="27" xfId="2" applyNumberFormat="1" applyFont="1" applyBorder="1" applyAlignment="1">
      <alignment horizontal="center" vertical="center" wrapText="1"/>
    </xf>
    <xf numFmtId="9" fontId="25" fillId="2" borderId="27" xfId="2" applyNumberFormat="1" applyFont="1" applyFill="1" applyBorder="1" applyAlignment="1">
      <alignment horizontal="center" vertical="center"/>
    </xf>
    <xf numFmtId="164" fontId="25" fillId="0" borderId="27" xfId="2" applyNumberFormat="1" applyFont="1" applyBorder="1" applyAlignment="1">
      <alignment horizontal="left" vertical="center" indent="1"/>
    </xf>
    <xf numFmtId="0" fontId="10" fillId="0" borderId="27" xfId="2" applyBorder="1" applyAlignment="1">
      <alignment vertical="center"/>
    </xf>
    <xf numFmtId="9" fontId="16" fillId="8" borderId="0" xfId="2" applyNumberFormat="1" applyFont="1" applyFill="1" applyAlignment="1">
      <alignment vertical="center" wrapText="1"/>
    </xf>
    <xf numFmtId="0" fontId="18" fillId="34" borderId="0" xfId="2" applyFont="1" applyFill="1" applyAlignment="1">
      <alignment horizontal="center" vertical="center"/>
    </xf>
    <xf numFmtId="9" fontId="29" fillId="14" borderId="0" xfId="2" applyNumberFormat="1" applyFont="1" applyFill="1" applyAlignment="1">
      <alignment horizontal="center" vertical="center" wrapText="1"/>
    </xf>
    <xf numFmtId="9" fontId="25" fillId="0" borderId="0" xfId="2" applyNumberFormat="1" applyFont="1" applyAlignment="1">
      <alignment horizontal="center" vertical="center" wrapText="1"/>
    </xf>
    <xf numFmtId="9" fontId="29" fillId="14" borderId="13" xfId="2" applyNumberFormat="1" applyFont="1" applyFill="1" applyBorder="1" applyAlignment="1">
      <alignment horizontal="center" vertical="center" wrapText="1"/>
    </xf>
    <xf numFmtId="0" fontId="34" fillId="0" borderId="7"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42" xfId="1" applyFont="1" applyBorder="1" applyAlignment="1">
      <alignment horizontal="center" vertical="center" wrapText="1"/>
    </xf>
    <xf numFmtId="14" fontId="9" fillId="0" borderId="42" xfId="1" applyNumberFormat="1" applyFont="1" applyBorder="1" applyAlignment="1">
      <alignment horizontal="center" vertical="center" wrapText="1"/>
    </xf>
    <xf numFmtId="14" fontId="9" fillId="0" borderId="42" xfId="1" applyNumberFormat="1" applyFont="1" applyBorder="1" applyAlignment="1">
      <alignment horizontal="left" vertical="center" wrapText="1"/>
    </xf>
    <xf numFmtId="0" fontId="6" fillId="0" borderId="1" xfId="1" applyFont="1" applyBorder="1" applyAlignment="1">
      <alignment horizontal="left"/>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14" fontId="9" fillId="0" borderId="2" xfId="1" applyNumberFormat="1" applyFont="1" applyBorder="1" applyAlignment="1">
      <alignment horizontal="center" vertical="center" wrapText="1"/>
    </xf>
    <xf numFmtId="14" fontId="9" fillId="0" borderId="3" xfId="1" applyNumberFormat="1" applyFont="1" applyBorder="1" applyAlignment="1">
      <alignment horizontal="center" vertical="center" wrapText="1"/>
    </xf>
    <xf numFmtId="14" fontId="9" fillId="0" borderId="4" xfId="1" applyNumberFormat="1" applyFont="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27" fillId="0" borderId="7" xfId="2" applyFont="1" applyBorder="1" applyAlignment="1">
      <alignment horizontal="left" vertical="center" wrapText="1"/>
    </xf>
    <xf numFmtId="0" fontId="22" fillId="10" borderId="7" xfId="2" applyFont="1" applyFill="1" applyBorder="1" applyAlignment="1">
      <alignment horizontal="center" vertical="center" wrapText="1"/>
    </xf>
    <xf numFmtId="0" fontId="22" fillId="10" borderId="13" xfId="2" applyFont="1" applyFill="1" applyBorder="1" applyAlignment="1">
      <alignment horizontal="center" vertical="center" wrapText="1"/>
    </xf>
    <xf numFmtId="0" fontId="22" fillId="10" borderId="27" xfId="2" applyFont="1" applyFill="1" applyBorder="1" applyAlignment="1">
      <alignment horizontal="center" vertical="center" wrapText="1"/>
    </xf>
    <xf numFmtId="0" fontId="30" fillId="0" borderId="0" xfId="2" applyFont="1" applyAlignment="1">
      <alignment horizontal="right" vertical="center"/>
    </xf>
    <xf numFmtId="0" fontId="32" fillId="0" borderId="9" xfId="2" applyFont="1" applyBorder="1" applyAlignment="1">
      <alignment horizontal="right" vertical="center"/>
    </xf>
    <xf numFmtId="0" fontId="32" fillId="15" borderId="9" xfId="2" applyFont="1" applyFill="1" applyBorder="1" applyAlignment="1">
      <alignment horizontal="right" vertical="center"/>
    </xf>
    <xf numFmtId="14" fontId="24" fillId="10" borderId="7" xfId="2" applyNumberFormat="1" applyFont="1" applyFill="1" applyBorder="1" applyAlignment="1">
      <alignment horizontal="center" vertical="center" wrapText="1"/>
    </xf>
    <xf numFmtId="0" fontId="20" fillId="16" borderId="15" xfId="2" applyFont="1" applyFill="1" applyBorder="1" applyAlignment="1">
      <alignment horizontal="center" vertical="center" wrapText="1"/>
    </xf>
    <xf numFmtId="0" fontId="20" fillId="16" borderId="27" xfId="2" applyFont="1" applyFill="1" applyBorder="1" applyAlignment="1">
      <alignment horizontal="center" vertical="center" wrapText="1"/>
    </xf>
    <xf numFmtId="0" fontId="20" fillId="16" borderId="13" xfId="2" applyFont="1" applyFill="1" applyBorder="1" applyAlignment="1">
      <alignment horizontal="center" vertical="center" wrapText="1"/>
    </xf>
    <xf numFmtId="0" fontId="22" fillId="10" borderId="15" xfId="2" applyFont="1" applyFill="1" applyBorder="1" applyAlignment="1">
      <alignment horizontal="center" vertical="center" wrapText="1"/>
    </xf>
    <xf numFmtId="0" fontId="23" fillId="11" borderId="7" xfId="2" applyFont="1" applyFill="1" applyBorder="1" applyAlignment="1">
      <alignment horizontal="center" vertical="center" wrapText="1"/>
    </xf>
    <xf numFmtId="0" fontId="24" fillId="10" borderId="7" xfId="2" applyFont="1" applyFill="1" applyBorder="1" applyAlignment="1">
      <alignment horizontal="center" vertical="center" wrapText="1"/>
    </xf>
    <xf numFmtId="0" fontId="27" fillId="0" borderId="7" xfId="2" applyFont="1" applyBorder="1" applyAlignment="1">
      <alignment horizontal="justify" vertical="center" wrapText="1"/>
    </xf>
    <xf numFmtId="0" fontId="24" fillId="10" borderId="13" xfId="2" applyFont="1" applyFill="1" applyBorder="1" applyAlignment="1">
      <alignment horizontal="center" vertical="center" wrapText="1"/>
    </xf>
    <xf numFmtId="0" fontId="24" fillId="10" borderId="15" xfId="2" applyFont="1" applyFill="1" applyBorder="1" applyAlignment="1">
      <alignment horizontal="center" vertical="center" wrapText="1"/>
    </xf>
    <xf numFmtId="0" fontId="24" fillId="10" borderId="27" xfId="2" applyFont="1" applyFill="1" applyBorder="1" applyAlignment="1">
      <alignment horizontal="center" vertical="center" wrapText="1"/>
    </xf>
    <xf numFmtId="14" fontId="24" fillId="10" borderId="13" xfId="2" applyNumberFormat="1" applyFont="1" applyFill="1" applyBorder="1" applyAlignment="1">
      <alignment horizontal="center" vertical="center" wrapText="1"/>
    </xf>
    <xf numFmtId="14" fontId="24" fillId="10" borderId="15" xfId="2" applyNumberFormat="1" applyFont="1" applyFill="1" applyBorder="1" applyAlignment="1">
      <alignment horizontal="center" vertical="center" wrapText="1"/>
    </xf>
    <xf numFmtId="0" fontId="23" fillId="11" borderId="13" xfId="2" applyFont="1" applyFill="1" applyBorder="1" applyAlignment="1">
      <alignment horizontal="center" vertical="center" wrapText="1"/>
    </xf>
    <xf numFmtId="0" fontId="23" fillId="11" borderId="27" xfId="2" applyFont="1" applyFill="1" applyBorder="1" applyAlignment="1">
      <alignment horizontal="center" vertical="center" wrapText="1"/>
    </xf>
    <xf numFmtId="0" fontId="27" fillId="0" borderId="7" xfId="2" applyFont="1" applyBorder="1" applyAlignment="1">
      <alignment horizontal="center" vertical="center" wrapText="1"/>
    </xf>
    <xf numFmtId="0" fontId="27" fillId="0" borderId="7" xfId="2" applyFont="1" applyBorder="1" applyAlignment="1">
      <alignment horizontal="center" vertical="center"/>
    </xf>
    <xf numFmtId="0" fontId="22" fillId="2" borderId="13" xfId="2" applyFont="1" applyFill="1" applyBorder="1" applyAlignment="1">
      <alignment horizontal="center" vertical="center" wrapText="1"/>
    </xf>
    <xf numFmtId="0" fontId="22" fillId="2" borderId="27" xfId="2" applyFont="1" applyFill="1" applyBorder="1" applyAlignment="1">
      <alignment horizontal="center" vertical="center" wrapText="1"/>
    </xf>
    <xf numFmtId="0" fontId="20" fillId="32" borderId="14" xfId="2" applyFont="1" applyFill="1" applyBorder="1" applyAlignment="1">
      <alignment horizontal="center" vertical="center" wrapText="1"/>
    </xf>
    <xf numFmtId="0" fontId="20" fillId="32" borderId="27" xfId="2" applyFont="1" applyFill="1" applyBorder="1" applyAlignment="1">
      <alignment horizontal="center" vertical="center" wrapText="1"/>
    </xf>
    <xf numFmtId="0" fontId="16" fillId="33" borderId="24" xfId="2" applyFont="1" applyFill="1" applyBorder="1" applyAlignment="1">
      <alignment horizontal="center" vertical="center" wrapText="1"/>
    </xf>
    <xf numFmtId="0" fontId="16" fillId="33" borderId="50" xfId="2" applyFont="1" applyFill="1" applyBorder="1" applyAlignment="1">
      <alignment horizontal="center" vertical="center" wrapText="1"/>
    </xf>
    <xf numFmtId="0" fontId="23" fillId="11" borderId="15" xfId="2" applyFont="1" applyFill="1" applyBorder="1" applyAlignment="1">
      <alignment horizontal="center" vertical="center" wrapText="1"/>
    </xf>
    <xf numFmtId="0" fontId="40" fillId="32" borderId="7" xfId="4" applyFont="1" applyFill="1" applyBorder="1" applyAlignment="1">
      <alignment horizontal="center" vertical="center" textRotation="90"/>
    </xf>
    <xf numFmtId="49" fontId="40" fillId="32" borderId="58" xfId="4" applyNumberFormat="1" applyFont="1" applyFill="1" applyBorder="1" applyAlignment="1">
      <alignment horizontal="center" vertical="center" textRotation="90"/>
    </xf>
    <xf numFmtId="49" fontId="40" fillId="32" borderId="22" xfId="4" applyNumberFormat="1" applyFont="1" applyFill="1" applyBorder="1" applyAlignment="1">
      <alignment horizontal="center" vertical="center" textRotation="90"/>
    </xf>
    <xf numFmtId="0" fontId="20" fillId="32" borderId="13" xfId="2" applyFont="1" applyFill="1" applyBorder="1" applyAlignment="1">
      <alignment horizontal="center" vertical="center" wrapText="1"/>
    </xf>
    <xf numFmtId="0" fontId="81" fillId="30" borderId="2" xfId="2" applyFont="1" applyFill="1" applyBorder="1" applyAlignment="1">
      <alignment horizontal="center" vertical="center" wrapText="1"/>
    </xf>
    <xf numFmtId="0" fontId="81" fillId="30" borderId="3" xfId="2" applyFont="1" applyFill="1" applyBorder="1" applyAlignment="1">
      <alignment horizontal="center" vertical="center" wrapText="1"/>
    </xf>
    <xf numFmtId="0" fontId="81" fillId="30" borderId="4" xfId="2" applyFont="1" applyFill="1" applyBorder="1" applyAlignment="1">
      <alignment horizontal="center" vertical="center" wrapText="1"/>
    </xf>
    <xf numFmtId="0" fontId="81" fillId="30" borderId="11" xfId="2" applyFont="1" applyFill="1" applyBorder="1" applyAlignment="1">
      <alignment horizontal="center" vertical="center" wrapText="1"/>
    </xf>
    <xf numFmtId="0" fontId="81" fillId="30" borderId="0" xfId="2" applyFont="1" applyFill="1" applyAlignment="1">
      <alignment horizontal="center" vertical="center" wrapText="1"/>
    </xf>
    <xf numFmtId="0" fontId="81" fillId="30" borderId="12" xfId="2" applyFont="1" applyFill="1" applyBorder="1" applyAlignment="1">
      <alignment horizontal="center" vertical="center" wrapText="1"/>
    </xf>
    <xf numFmtId="0" fontId="81" fillId="30" borderId="17" xfId="2" applyFont="1" applyFill="1" applyBorder="1" applyAlignment="1">
      <alignment horizontal="center" vertical="center" wrapText="1"/>
    </xf>
    <xf numFmtId="0" fontId="81" fillId="30" borderId="31" xfId="2" applyFont="1" applyFill="1" applyBorder="1" applyAlignment="1">
      <alignment horizontal="center" vertical="center" wrapText="1"/>
    </xf>
    <xf numFmtId="0" fontId="81" fillId="30" borderId="34" xfId="2" applyFont="1" applyFill="1" applyBorder="1" applyAlignment="1">
      <alignment horizontal="center" vertical="center" wrapText="1"/>
    </xf>
    <xf numFmtId="9" fontId="16" fillId="8" borderId="2" xfId="2" applyNumberFormat="1" applyFont="1" applyFill="1" applyBorder="1" applyAlignment="1">
      <alignment horizontal="center" vertical="center" wrapText="1"/>
    </xf>
    <xf numFmtId="9" fontId="16" fillId="8" borderId="4" xfId="2" applyNumberFormat="1" applyFont="1" applyFill="1" applyBorder="1" applyAlignment="1">
      <alignment horizontal="center" vertical="center" wrapText="1"/>
    </xf>
    <xf numFmtId="9" fontId="16" fillId="8" borderId="11" xfId="2" applyNumberFormat="1" applyFont="1" applyFill="1" applyBorder="1" applyAlignment="1">
      <alignment horizontal="center" vertical="center" wrapText="1"/>
    </xf>
    <xf numFmtId="9" fontId="16" fillId="8" borderId="12" xfId="2" applyNumberFormat="1" applyFont="1" applyFill="1" applyBorder="1" applyAlignment="1">
      <alignment horizontal="center" vertical="center" wrapText="1"/>
    </xf>
    <xf numFmtId="9" fontId="16" fillId="8" borderId="5" xfId="2" applyNumberFormat="1" applyFont="1" applyFill="1" applyBorder="1" applyAlignment="1">
      <alignment horizontal="center" vertical="center" wrapText="1"/>
    </xf>
    <xf numFmtId="9" fontId="16" fillId="8" borderId="6" xfId="2" applyNumberFormat="1" applyFont="1" applyFill="1" applyBorder="1" applyAlignment="1">
      <alignment horizontal="center" vertical="center" wrapText="1"/>
    </xf>
    <xf numFmtId="0" fontId="41" fillId="32" borderId="7" xfId="2" applyFont="1" applyFill="1" applyBorder="1" applyAlignment="1">
      <alignment horizontal="center" vertical="center"/>
    </xf>
    <xf numFmtId="0" fontId="42" fillId="32" borderId="7" xfId="2" applyFont="1" applyFill="1" applyBorder="1" applyAlignment="1">
      <alignment horizontal="center" vertical="center" wrapText="1"/>
    </xf>
    <xf numFmtId="0" fontId="43" fillId="32" borderId="7" xfId="2" applyFont="1" applyFill="1" applyBorder="1" applyAlignment="1">
      <alignment horizontal="center" vertical="center" wrapText="1"/>
    </xf>
    <xf numFmtId="0" fontId="18" fillId="31" borderId="0" xfId="2" applyFont="1" applyFill="1" applyAlignment="1">
      <alignment horizontal="center" vertical="center" wrapText="1"/>
    </xf>
    <xf numFmtId="0" fontId="18" fillId="31" borderId="12" xfId="2" applyFont="1" applyFill="1" applyBorder="1" applyAlignment="1">
      <alignment horizontal="center" vertical="center" wrapText="1"/>
    </xf>
    <xf numFmtId="0" fontId="18" fillId="31" borderId="11" xfId="2" applyFont="1" applyFill="1" applyBorder="1" applyAlignment="1">
      <alignment horizontal="center" vertical="center" wrapText="1"/>
    </xf>
    <xf numFmtId="0" fontId="18" fillId="31" borderId="48" xfId="2" applyFont="1" applyFill="1" applyBorder="1" applyAlignment="1">
      <alignment horizontal="center" vertical="center" wrapText="1"/>
    </xf>
    <xf numFmtId="0" fontId="18" fillId="31" borderId="21" xfId="2" applyFont="1" applyFill="1" applyBorder="1" applyAlignment="1">
      <alignment horizontal="center" vertical="center" wrapText="1"/>
    </xf>
    <xf numFmtId="0" fontId="18" fillId="31" borderId="1" xfId="2" applyFont="1" applyFill="1" applyBorder="1" applyAlignment="1">
      <alignment horizontal="center" vertical="center" wrapText="1"/>
    </xf>
    <xf numFmtId="0" fontId="18" fillId="31" borderId="22" xfId="2" applyFont="1" applyFill="1" applyBorder="1" applyAlignment="1">
      <alignment horizontal="center" vertical="center" wrapText="1"/>
    </xf>
    <xf numFmtId="0" fontId="18" fillId="33" borderId="23" xfId="2" applyFont="1" applyFill="1" applyBorder="1" applyAlignment="1">
      <alignment horizontal="center" vertical="center"/>
    </xf>
    <xf numFmtId="0" fontId="18" fillId="33" borderId="0" xfId="2" applyFont="1" applyFill="1" applyAlignment="1">
      <alignment horizontal="center" vertical="center"/>
    </xf>
    <xf numFmtId="9" fontId="17" fillId="2" borderId="2" xfId="3" applyFont="1" applyFill="1" applyBorder="1" applyAlignment="1">
      <alignment horizontal="center" vertical="center"/>
    </xf>
    <xf numFmtId="9" fontId="17" fillId="2" borderId="11" xfId="3" applyFont="1" applyFill="1" applyBorder="1" applyAlignment="1">
      <alignment horizontal="center" vertical="center"/>
    </xf>
    <xf numFmtId="9" fontId="17" fillId="2" borderId="17" xfId="3" applyFont="1" applyFill="1" applyBorder="1" applyAlignment="1">
      <alignment horizontal="center" vertical="center"/>
    </xf>
    <xf numFmtId="9" fontId="16" fillId="8" borderId="3" xfId="2" applyNumberFormat="1" applyFont="1" applyFill="1" applyBorder="1" applyAlignment="1">
      <alignment horizontal="center" vertical="center" wrapText="1"/>
    </xf>
    <xf numFmtId="9" fontId="16" fillId="8" borderId="0" xfId="2" applyNumberFormat="1" applyFont="1" applyFill="1" applyAlignment="1">
      <alignment horizontal="center" vertical="center" wrapText="1"/>
    </xf>
    <xf numFmtId="9" fontId="16" fillId="8" borderId="1" xfId="2" applyNumberFormat="1" applyFont="1" applyFill="1" applyBorder="1" applyAlignment="1">
      <alignment horizontal="center" vertical="center" wrapText="1"/>
    </xf>
    <xf numFmtId="9" fontId="16" fillId="8" borderId="2" xfId="13" applyFont="1" applyFill="1" applyBorder="1" applyAlignment="1">
      <alignment horizontal="center" vertical="center" wrapText="1"/>
    </xf>
    <xf numFmtId="9" fontId="16" fillId="8" borderId="3" xfId="13" applyFont="1" applyFill="1" applyBorder="1" applyAlignment="1">
      <alignment horizontal="center" vertical="center" wrapText="1"/>
    </xf>
    <xf numFmtId="9" fontId="16" fillId="8" borderId="4" xfId="13" applyFont="1" applyFill="1" applyBorder="1" applyAlignment="1">
      <alignment horizontal="center" vertical="center" wrapText="1"/>
    </xf>
    <xf numFmtId="9" fontId="16" fillId="8" borderId="11" xfId="13" applyFont="1" applyFill="1" applyBorder="1" applyAlignment="1">
      <alignment horizontal="center" vertical="center" wrapText="1"/>
    </xf>
    <xf numFmtId="9" fontId="16" fillId="8" borderId="0" xfId="13" applyFont="1" applyFill="1" applyAlignment="1">
      <alignment horizontal="center" vertical="center" wrapText="1"/>
    </xf>
    <xf numFmtId="9" fontId="16" fillId="8" borderId="12" xfId="13" applyFont="1" applyFill="1" applyBorder="1" applyAlignment="1">
      <alignment horizontal="center" vertical="center" wrapText="1"/>
    </xf>
    <xf numFmtId="9" fontId="16" fillId="8" borderId="5" xfId="13" applyFont="1" applyFill="1" applyBorder="1" applyAlignment="1">
      <alignment horizontal="center" vertical="center" wrapText="1"/>
    </xf>
    <xf numFmtId="9" fontId="16" fillId="8" borderId="1" xfId="13" applyFont="1" applyFill="1" applyBorder="1" applyAlignment="1">
      <alignment horizontal="center" vertical="center" wrapText="1"/>
    </xf>
    <xf numFmtId="9" fontId="16" fillId="8" borderId="6" xfId="13"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80" fillId="30" borderId="2" xfId="2" applyFont="1" applyFill="1" applyBorder="1" applyAlignment="1">
      <alignment horizontal="left" vertical="center" wrapText="1"/>
    </xf>
    <xf numFmtId="0" fontId="80" fillId="30" borderId="3" xfId="2" applyFont="1" applyFill="1" applyBorder="1" applyAlignment="1">
      <alignment horizontal="left" vertical="center" wrapText="1"/>
    </xf>
    <xf numFmtId="0" fontId="80" fillId="30" borderId="11" xfId="2" applyFont="1" applyFill="1" applyBorder="1" applyAlignment="1">
      <alignment horizontal="left" vertical="center" wrapText="1"/>
    </xf>
    <xf numFmtId="0" fontId="80" fillId="30" borderId="0" xfId="2" applyFont="1" applyFill="1" applyAlignment="1">
      <alignment horizontal="left" vertical="center" wrapText="1"/>
    </xf>
    <xf numFmtId="0" fontId="80" fillId="30" borderId="5" xfId="2" applyFont="1" applyFill="1" applyBorder="1" applyAlignment="1">
      <alignment horizontal="left" vertical="center" wrapText="1"/>
    </xf>
    <xf numFmtId="0" fontId="80" fillId="30" borderId="1" xfId="2" applyFont="1" applyFill="1" applyBorder="1" applyAlignment="1">
      <alignment horizontal="left" vertical="center" wrapText="1"/>
    </xf>
    <xf numFmtId="0" fontId="13" fillId="0" borderId="0" xfId="2" applyFont="1" applyAlignment="1">
      <alignment horizontal="center" vertical="center" textRotation="45" wrapText="1"/>
    </xf>
    <xf numFmtId="0" fontId="81" fillId="30" borderId="7" xfId="2" applyFont="1" applyFill="1" applyBorder="1" applyAlignment="1">
      <alignment horizontal="right" vertical="center" wrapText="1"/>
    </xf>
    <xf numFmtId="0" fontId="17" fillId="2" borderId="7" xfId="2" applyFont="1" applyFill="1" applyBorder="1" applyAlignment="1">
      <alignment horizontal="center" vertical="center"/>
    </xf>
    <xf numFmtId="9" fontId="17" fillId="2" borderId="13" xfId="3" applyFont="1" applyFill="1" applyBorder="1" applyAlignment="1">
      <alignment horizontal="center" vertical="center"/>
    </xf>
    <xf numFmtId="9" fontId="17" fillId="2" borderId="15" xfId="3" applyFont="1" applyFill="1" applyBorder="1" applyAlignment="1">
      <alignment horizontal="center" vertical="center"/>
    </xf>
    <xf numFmtId="9" fontId="17" fillId="2" borderId="16" xfId="3" applyFont="1" applyFill="1" applyBorder="1" applyAlignment="1">
      <alignment horizontal="center" vertical="center"/>
    </xf>
    <xf numFmtId="9" fontId="16" fillId="8" borderId="14" xfId="2" applyNumberFormat="1" applyFont="1" applyFill="1" applyBorder="1" applyAlignment="1">
      <alignment horizontal="center" vertical="center" wrapText="1"/>
    </xf>
    <xf numFmtId="9" fontId="16" fillId="8" borderId="15" xfId="2" applyNumberFormat="1" applyFont="1" applyFill="1" applyBorder="1" applyAlignment="1">
      <alignment horizontal="center" vertical="center" wrapText="1"/>
    </xf>
    <xf numFmtId="9" fontId="16" fillId="8" borderId="16" xfId="2" applyNumberFormat="1" applyFont="1" applyFill="1" applyBorder="1" applyAlignment="1">
      <alignment horizontal="center" vertical="center" wrapText="1"/>
    </xf>
    <xf numFmtId="0" fontId="10" fillId="0" borderId="12" xfId="2" applyBorder="1" applyAlignment="1">
      <alignment horizontal="center" vertical="center"/>
    </xf>
    <xf numFmtId="0" fontId="10" fillId="0" borderId="6" xfId="2" applyBorder="1" applyAlignment="1">
      <alignment horizontal="center" vertical="center"/>
    </xf>
    <xf numFmtId="0" fontId="10" fillId="0" borderId="12" xfId="2" applyBorder="1" applyAlignment="1">
      <alignment horizontal="center" vertical="center" wrapText="1"/>
    </xf>
    <xf numFmtId="0" fontId="10" fillId="0" borderId="6" xfId="2" applyBorder="1" applyAlignment="1">
      <alignment horizontal="center" vertical="center" wrapText="1"/>
    </xf>
    <xf numFmtId="14" fontId="22" fillId="10" borderId="7" xfId="2" applyNumberFormat="1" applyFont="1" applyFill="1" applyBorder="1" applyAlignment="1">
      <alignment horizontal="center" vertical="center" wrapText="1"/>
    </xf>
    <xf numFmtId="0" fontId="22" fillId="2" borderId="7" xfId="2" applyFont="1" applyFill="1" applyBorder="1" applyAlignment="1">
      <alignment horizontal="center" vertical="center" wrapText="1"/>
    </xf>
    <xf numFmtId="0" fontId="22" fillId="18" borderId="7" xfId="2" applyFont="1" applyFill="1" applyBorder="1" applyAlignment="1">
      <alignment horizontal="center" vertical="center" wrapText="1"/>
    </xf>
    <xf numFmtId="0" fontId="22" fillId="18" borderId="13" xfId="2" applyFont="1" applyFill="1" applyBorder="1" applyAlignment="1">
      <alignment horizontal="center" vertical="center" wrapText="1"/>
    </xf>
    <xf numFmtId="0" fontId="22" fillId="18" borderId="27" xfId="2" applyFont="1" applyFill="1" applyBorder="1" applyAlignment="1">
      <alignment horizontal="center" vertical="center" wrapText="1"/>
    </xf>
    <xf numFmtId="0" fontId="24" fillId="18" borderId="13" xfId="2" applyFont="1" applyFill="1" applyBorder="1" applyAlignment="1">
      <alignment horizontal="center" vertical="center" wrapText="1"/>
    </xf>
    <xf numFmtId="0" fontId="24" fillId="18" borderId="27" xfId="2" applyFont="1" applyFill="1" applyBorder="1" applyAlignment="1">
      <alignment horizontal="center" vertical="center" wrapText="1"/>
    </xf>
    <xf numFmtId="14" fontId="22" fillId="18" borderId="7" xfId="2" applyNumberFormat="1" applyFont="1" applyFill="1" applyBorder="1" applyAlignment="1">
      <alignment horizontal="center" vertical="center" wrapText="1"/>
    </xf>
    <xf numFmtId="0" fontId="10" fillId="0" borderId="12" xfId="2" applyBorder="1" applyAlignment="1">
      <alignment horizontal="justify" vertical="center" wrapText="1"/>
    </xf>
    <xf numFmtId="0" fontId="10" fillId="0" borderId="6" xfId="2" applyBorder="1" applyAlignment="1">
      <alignment horizontal="justify" vertical="center" wrapText="1"/>
    </xf>
    <xf numFmtId="0" fontId="22" fillId="18" borderId="15" xfId="2" applyFont="1" applyFill="1" applyBorder="1" applyAlignment="1">
      <alignment horizontal="center" vertical="center" wrapText="1"/>
    </xf>
    <xf numFmtId="0" fontId="10" fillId="29" borderId="12" xfId="2" applyFill="1" applyBorder="1" applyAlignment="1">
      <alignment horizontal="center" vertical="center" wrapText="1"/>
    </xf>
    <xf numFmtId="0" fontId="10" fillId="29" borderId="6" xfId="2" applyFill="1" applyBorder="1" applyAlignment="1">
      <alignment horizontal="center" vertical="center" wrapText="1"/>
    </xf>
    <xf numFmtId="0" fontId="24" fillId="18" borderId="15" xfId="2" applyFont="1" applyFill="1" applyBorder="1" applyAlignment="1">
      <alignment horizontal="center" vertical="center" wrapText="1"/>
    </xf>
    <xf numFmtId="0" fontId="23" fillId="18" borderId="7" xfId="2" applyFont="1" applyFill="1" applyBorder="1" applyAlignment="1">
      <alignment horizontal="center" vertical="center" wrapText="1"/>
    </xf>
    <xf numFmtId="0" fontId="10" fillId="0" borderId="7" xfId="2" applyBorder="1" applyAlignment="1">
      <alignment horizontal="center" vertical="center" wrapText="1"/>
    </xf>
    <xf numFmtId="0" fontId="23" fillId="17" borderId="7" xfId="2" applyFont="1" applyFill="1" applyBorder="1" applyAlignment="1">
      <alignment horizontal="center" vertical="center" wrapText="1"/>
    </xf>
    <xf numFmtId="14" fontId="22" fillId="10" borderId="13" xfId="2" applyNumberFormat="1" applyFont="1" applyFill="1" applyBorder="1" applyAlignment="1">
      <alignment horizontal="center" vertical="center" wrapText="1"/>
    </xf>
    <xf numFmtId="14" fontId="22" fillId="10" borderId="27" xfId="2" applyNumberFormat="1" applyFont="1" applyFill="1" applyBorder="1" applyAlignment="1">
      <alignment horizontal="center" vertical="center" wrapText="1"/>
    </xf>
    <xf numFmtId="0" fontId="10" fillId="0" borderId="12" xfId="2" applyBorder="1" applyAlignment="1">
      <alignment horizontal="left" vertical="center" wrapText="1"/>
    </xf>
    <xf numFmtId="0" fontId="10" fillId="0" borderId="12" xfId="2" applyBorder="1" applyAlignment="1">
      <alignment horizontal="left" vertical="center"/>
    </xf>
    <xf numFmtId="0" fontId="10" fillId="0" borderId="42" xfId="2" applyBorder="1" applyAlignment="1">
      <alignment horizontal="center" vertical="center" wrapText="1"/>
    </xf>
    <xf numFmtId="6" fontId="22" fillId="18" borderId="13" xfId="2" applyNumberFormat="1" applyFont="1" applyFill="1" applyBorder="1" applyAlignment="1">
      <alignment horizontal="center" vertical="center" wrapText="1"/>
    </xf>
    <xf numFmtId="6" fontId="22" fillId="18" borderId="15" xfId="2" applyNumberFormat="1" applyFont="1" applyFill="1" applyBorder="1" applyAlignment="1">
      <alignment horizontal="center" vertical="center" wrapText="1"/>
    </xf>
    <xf numFmtId="0" fontId="10" fillId="0" borderId="0" xfId="2" applyAlignment="1">
      <alignment horizontal="center" vertical="center" wrapText="1"/>
    </xf>
    <xf numFmtId="0" fontId="44" fillId="0" borderId="12" xfId="2" applyFont="1" applyBorder="1" applyAlignment="1">
      <alignment horizontal="center" vertical="center" wrapText="1"/>
    </xf>
    <xf numFmtId="0" fontId="44" fillId="0" borderId="6" xfId="2" applyFont="1" applyBorder="1" applyAlignment="1">
      <alignment horizontal="center" vertical="center" wrapText="1"/>
    </xf>
    <xf numFmtId="49" fontId="40" fillId="32" borderId="7" xfId="4" applyNumberFormat="1" applyFont="1" applyFill="1" applyBorder="1" applyAlignment="1">
      <alignment horizontal="center" vertical="center" textRotation="90"/>
    </xf>
    <xf numFmtId="49" fontId="40" fillId="32" borderId="20" xfId="4" applyNumberFormat="1" applyFont="1" applyFill="1" applyBorder="1" applyAlignment="1">
      <alignment horizontal="center" vertical="center" textRotation="90"/>
    </xf>
    <xf numFmtId="0" fontId="16" fillId="33" borderId="25" xfId="2" applyFont="1" applyFill="1" applyBorder="1" applyAlignment="1">
      <alignment horizontal="center" vertical="center" wrapText="1"/>
    </xf>
    <xf numFmtId="0" fontId="16" fillId="33" borderId="13" xfId="2" applyFont="1" applyFill="1" applyBorder="1" applyAlignment="1">
      <alignment horizontal="center" vertical="center" wrapText="1"/>
    </xf>
    <xf numFmtId="0" fontId="16" fillId="33" borderId="26" xfId="2" applyFont="1" applyFill="1" applyBorder="1" applyAlignment="1">
      <alignment horizontal="center" vertical="center" wrapText="1"/>
    </xf>
    <xf numFmtId="0" fontId="16" fillId="33" borderId="38" xfId="2" applyFont="1" applyFill="1" applyBorder="1" applyAlignment="1">
      <alignment horizontal="center" vertical="center" wrapText="1"/>
    </xf>
    <xf numFmtId="0" fontId="39" fillId="31" borderId="0" xfId="2" applyFont="1" applyFill="1" applyAlignment="1">
      <alignment horizontal="center" vertical="center" wrapText="1"/>
    </xf>
    <xf numFmtId="0" fontId="39" fillId="34" borderId="35" xfId="2" applyFont="1" applyFill="1" applyBorder="1" applyAlignment="1">
      <alignment horizontal="center" vertical="center"/>
    </xf>
    <xf numFmtId="0" fontId="39" fillId="34" borderId="36" xfId="2" applyFont="1" applyFill="1" applyBorder="1" applyAlignment="1">
      <alignment horizontal="center" vertical="center"/>
    </xf>
    <xf numFmtId="0" fontId="39" fillId="34" borderId="19" xfId="2" applyFont="1" applyFill="1" applyBorder="1" applyAlignment="1">
      <alignment horizontal="center" vertical="center"/>
    </xf>
    <xf numFmtId="0" fontId="39" fillId="34" borderId="20" xfId="2" applyFont="1" applyFill="1" applyBorder="1" applyAlignment="1">
      <alignment horizontal="center" vertical="center"/>
    </xf>
    <xf numFmtId="0" fontId="39" fillId="34" borderId="37" xfId="2" applyFont="1" applyFill="1" applyBorder="1" applyAlignment="1">
      <alignment horizontal="center" vertical="center"/>
    </xf>
    <xf numFmtId="164" fontId="16" fillId="8" borderId="2" xfId="2" applyNumberFormat="1" applyFont="1" applyFill="1" applyBorder="1" applyAlignment="1">
      <alignment horizontal="center" vertical="center" wrapText="1"/>
    </xf>
    <xf numFmtId="164" fontId="16" fillId="8" borderId="3" xfId="2" applyNumberFormat="1" applyFont="1" applyFill="1" applyBorder="1" applyAlignment="1">
      <alignment horizontal="center" vertical="center" wrapText="1"/>
    </xf>
    <xf numFmtId="164" fontId="16" fillId="8" borderId="4" xfId="2" applyNumberFormat="1" applyFont="1" applyFill="1" applyBorder="1" applyAlignment="1">
      <alignment horizontal="center" vertical="center" wrapText="1"/>
    </xf>
    <xf numFmtId="164" fontId="16" fillId="8" borderId="11" xfId="2" applyNumberFormat="1" applyFont="1" applyFill="1" applyBorder="1" applyAlignment="1">
      <alignment horizontal="center" vertical="center" wrapText="1"/>
    </xf>
    <xf numFmtId="164" fontId="16" fillId="8" borderId="0" xfId="2" applyNumberFormat="1" applyFont="1" applyFill="1" applyAlignment="1">
      <alignment horizontal="center" vertical="center" wrapText="1"/>
    </xf>
    <xf numFmtId="164" fontId="16" fillId="8" borderId="12" xfId="2" applyNumberFormat="1" applyFont="1" applyFill="1" applyBorder="1" applyAlignment="1">
      <alignment horizontal="center" vertical="center" wrapText="1"/>
    </xf>
    <xf numFmtId="164" fontId="16" fillId="8" borderId="17" xfId="2" applyNumberFormat="1" applyFont="1" applyFill="1" applyBorder="1" applyAlignment="1">
      <alignment horizontal="center" vertical="center" wrapText="1"/>
    </xf>
    <xf numFmtId="164" fontId="16" fillId="8" borderId="31" xfId="2" applyNumberFormat="1" applyFont="1" applyFill="1" applyBorder="1" applyAlignment="1">
      <alignment horizontal="center" vertical="center" wrapText="1"/>
    </xf>
    <xf numFmtId="164" fontId="16" fillId="8" borderId="34" xfId="2" applyNumberFormat="1" applyFont="1" applyFill="1" applyBorder="1" applyAlignment="1">
      <alignment horizontal="center" vertical="center" wrapText="1"/>
    </xf>
    <xf numFmtId="9" fontId="16" fillId="8" borderId="17" xfId="2" applyNumberFormat="1" applyFont="1" applyFill="1" applyBorder="1" applyAlignment="1">
      <alignment horizontal="center" vertical="center" wrapText="1"/>
    </xf>
    <xf numFmtId="9" fontId="16" fillId="8" borderId="31" xfId="2" applyNumberFormat="1" applyFont="1" applyFill="1" applyBorder="1" applyAlignment="1">
      <alignment horizontal="center" vertical="center" wrapText="1"/>
    </xf>
    <xf numFmtId="9" fontId="16" fillId="8" borderId="34" xfId="2" applyNumberFormat="1" applyFont="1" applyFill="1" applyBorder="1" applyAlignment="1">
      <alignment horizontal="center" vertical="center" wrapText="1"/>
    </xf>
    <xf numFmtId="9" fontId="17" fillId="2" borderId="4" xfId="3" applyFont="1" applyFill="1" applyBorder="1" applyAlignment="1">
      <alignment horizontal="center" vertical="center"/>
    </xf>
    <xf numFmtId="9" fontId="17" fillId="2" borderId="12" xfId="3" applyFont="1" applyFill="1" applyBorder="1" applyAlignment="1">
      <alignment horizontal="center" vertical="center"/>
    </xf>
    <xf numFmtId="9" fontId="17" fillId="2" borderId="34" xfId="3" applyFont="1" applyFill="1" applyBorder="1" applyAlignment="1">
      <alignment horizontal="center" vertical="center"/>
    </xf>
    <xf numFmtId="0" fontId="81" fillId="30" borderId="13" xfId="2" applyFont="1" applyFill="1" applyBorder="1" applyAlignment="1">
      <alignment horizontal="center" vertical="center" wrapText="1"/>
    </xf>
    <xf numFmtId="0" fontId="81" fillId="30" borderId="15" xfId="2" applyFont="1" applyFill="1" applyBorder="1" applyAlignment="1">
      <alignment horizontal="center" vertical="center" wrapText="1"/>
    </xf>
    <xf numFmtId="0" fontId="81" fillId="30" borderId="27" xfId="2" applyFont="1" applyFill="1" applyBorder="1" applyAlignment="1">
      <alignment horizontal="center" vertical="center" wrapText="1"/>
    </xf>
    <xf numFmtId="0" fontId="17" fillId="2" borderId="7" xfId="2" applyFont="1" applyFill="1" applyBorder="1" applyAlignment="1">
      <alignment vertical="center" wrapText="1"/>
    </xf>
    <xf numFmtId="0" fontId="17" fillId="2" borderId="7" xfId="2" applyFont="1" applyFill="1" applyBorder="1" applyAlignment="1">
      <alignment vertical="center"/>
    </xf>
    <xf numFmtId="0" fontId="10" fillId="0" borderId="1" xfId="2" applyBorder="1" applyAlignment="1">
      <alignment horizontal="right" vertical="center"/>
    </xf>
    <xf numFmtId="0" fontId="46" fillId="0" borderId="19" xfId="2" applyFont="1" applyBorder="1" applyAlignment="1">
      <alignment horizontal="center" vertical="center" wrapText="1"/>
    </xf>
    <xf numFmtId="0" fontId="46" fillId="0" borderId="0" xfId="2" applyFont="1" applyAlignment="1">
      <alignment horizontal="center" vertical="center" wrapText="1"/>
    </xf>
    <xf numFmtId="0" fontId="46" fillId="0" borderId="31" xfId="2" applyFont="1" applyBorder="1" applyAlignment="1">
      <alignment horizontal="center" vertical="center" wrapText="1"/>
    </xf>
    <xf numFmtId="0" fontId="45" fillId="0" borderId="27" xfId="2" applyFont="1" applyBorder="1" applyAlignment="1">
      <alignment horizontal="justify" vertical="center" wrapText="1"/>
    </xf>
    <xf numFmtId="0" fontId="45" fillId="0" borderId="7" xfId="2" applyFont="1" applyBorder="1" applyAlignment="1">
      <alignment horizontal="justify" vertical="center" wrapText="1"/>
    </xf>
    <xf numFmtId="0" fontId="45" fillId="0" borderId="38" xfId="2" applyFont="1" applyBorder="1" applyAlignment="1">
      <alignment horizontal="center" vertical="center" wrapText="1"/>
    </xf>
    <xf numFmtId="0" fontId="45" fillId="0" borderId="39" xfId="2" applyFont="1" applyBorder="1" applyAlignment="1">
      <alignment horizontal="center" vertical="center" wrapText="1"/>
    </xf>
    <xf numFmtId="0" fontId="46" fillId="0" borderId="3" xfId="2" applyFont="1" applyBorder="1" applyAlignment="1">
      <alignment horizontal="center" vertical="center" wrapText="1"/>
    </xf>
    <xf numFmtId="0" fontId="45" fillId="0" borderId="27" xfId="2" applyFont="1" applyBorder="1" applyAlignment="1">
      <alignment horizontal="left" vertical="center" wrapText="1"/>
    </xf>
    <xf numFmtId="0" fontId="45" fillId="0" borderId="7" xfId="2" applyFont="1" applyBorder="1" applyAlignment="1">
      <alignment horizontal="left" vertical="center" wrapText="1"/>
    </xf>
    <xf numFmtId="0" fontId="16" fillId="33" borderId="51" xfId="2" applyFont="1" applyFill="1" applyBorder="1" applyAlignment="1">
      <alignment horizontal="center" vertical="center" wrapText="1"/>
    </xf>
    <xf numFmtId="0" fontId="16" fillId="33" borderId="4" xfId="2" applyFont="1" applyFill="1" applyBorder="1" applyAlignment="1">
      <alignment horizontal="center" vertical="center" wrapText="1"/>
    </xf>
    <xf numFmtId="0" fontId="18" fillId="34" borderId="18" xfId="2" applyFont="1" applyFill="1" applyBorder="1" applyAlignment="1">
      <alignment horizontal="center" vertical="center"/>
    </xf>
    <xf numFmtId="0" fontId="18" fillId="34" borderId="19" xfId="2" applyFont="1" applyFill="1" applyBorder="1" applyAlignment="1">
      <alignment horizontal="center" vertical="center"/>
    </xf>
    <xf numFmtId="0" fontId="18" fillId="34" borderId="20" xfId="2" applyFont="1" applyFill="1" applyBorder="1" applyAlignment="1">
      <alignment horizontal="center" vertical="center"/>
    </xf>
    <xf numFmtId="0" fontId="18" fillId="34" borderId="21" xfId="2" applyFont="1" applyFill="1" applyBorder="1" applyAlignment="1">
      <alignment horizontal="center" vertical="center"/>
    </xf>
    <xf numFmtId="0" fontId="18" fillId="34" borderId="1" xfId="2" applyFont="1" applyFill="1" applyBorder="1" applyAlignment="1">
      <alignment horizontal="center" vertical="center"/>
    </xf>
    <xf numFmtId="0" fontId="18" fillId="34" borderId="22" xfId="2" applyFont="1" applyFill="1" applyBorder="1" applyAlignment="1">
      <alignment horizontal="center" vertical="center"/>
    </xf>
    <xf numFmtId="9" fontId="17" fillId="2" borderId="2" xfId="3" applyFont="1" applyFill="1" applyBorder="1" applyAlignment="1">
      <alignment horizontal="left" vertical="center"/>
    </xf>
    <xf numFmtId="9" fontId="17" fillId="2" borderId="11" xfId="3" applyFont="1" applyFill="1" applyBorder="1" applyAlignment="1">
      <alignment horizontal="left" vertical="center"/>
    </xf>
    <xf numFmtId="9" fontId="17" fillId="2" borderId="17" xfId="3" applyFont="1" applyFill="1" applyBorder="1" applyAlignment="1">
      <alignment horizontal="left" vertical="center"/>
    </xf>
    <xf numFmtId="0" fontId="81" fillId="30" borderId="2" xfId="2" applyFont="1" applyFill="1" applyBorder="1" applyAlignment="1">
      <alignment horizontal="right" vertical="center" wrapText="1"/>
    </xf>
    <xf numFmtId="0" fontId="81" fillId="30" borderId="3" xfId="2" applyFont="1" applyFill="1" applyBorder="1" applyAlignment="1">
      <alignment horizontal="right" vertical="center" wrapText="1"/>
    </xf>
    <xf numFmtId="0" fontId="81" fillId="30" borderId="4" xfId="2" applyFont="1" applyFill="1" applyBorder="1" applyAlignment="1">
      <alignment horizontal="right" vertical="center" wrapText="1"/>
    </xf>
    <xf numFmtId="0" fontId="81" fillId="30" borderId="11" xfId="2" applyFont="1" applyFill="1" applyBorder="1" applyAlignment="1">
      <alignment horizontal="right" vertical="center" wrapText="1"/>
    </xf>
    <xf numFmtId="0" fontId="81" fillId="30" borderId="0" xfId="2" applyFont="1" applyFill="1" applyAlignment="1">
      <alignment horizontal="right" vertical="center" wrapText="1"/>
    </xf>
    <xf numFmtId="0" fontId="81" fillId="30" borderId="12" xfId="2" applyFont="1" applyFill="1" applyBorder="1" applyAlignment="1">
      <alignment horizontal="right" vertical="center" wrapText="1"/>
    </xf>
    <xf numFmtId="0" fontId="81" fillId="30" borderId="5" xfId="2" applyFont="1" applyFill="1" applyBorder="1" applyAlignment="1">
      <alignment horizontal="right" vertical="center" wrapText="1"/>
    </xf>
    <xf numFmtId="0" fontId="81" fillId="30" borderId="1" xfId="2" applyFont="1" applyFill="1" applyBorder="1" applyAlignment="1">
      <alignment horizontal="right" vertical="center" wrapText="1"/>
    </xf>
    <xf numFmtId="0" fontId="81" fillId="30" borderId="6" xfId="2" applyFont="1" applyFill="1" applyBorder="1" applyAlignment="1">
      <alignment horizontal="right" vertical="center" wrapText="1"/>
    </xf>
    <xf numFmtId="9" fontId="17" fillId="2" borderId="13" xfId="3" applyFont="1" applyFill="1" applyBorder="1" applyAlignment="1">
      <alignment horizontal="left" vertical="center"/>
    </xf>
    <xf numFmtId="9" fontId="17" fillId="2" borderId="15" xfId="3" applyFont="1" applyFill="1" applyBorder="1" applyAlignment="1">
      <alignment horizontal="left" vertical="center"/>
    </xf>
    <xf numFmtId="9" fontId="17" fillId="2" borderId="16" xfId="3" applyFont="1" applyFill="1" applyBorder="1" applyAlignment="1">
      <alignment horizontal="left" vertical="center"/>
    </xf>
    <xf numFmtId="9" fontId="16" fillId="8" borderId="14" xfId="2" applyNumberFormat="1" applyFont="1" applyFill="1" applyBorder="1" applyAlignment="1">
      <alignment horizontal="center" vertical="center"/>
    </xf>
    <xf numFmtId="9" fontId="16" fillId="8" borderId="15" xfId="2" applyNumberFormat="1" applyFont="1" applyFill="1" applyBorder="1" applyAlignment="1">
      <alignment horizontal="center" vertical="center"/>
    </xf>
    <xf numFmtId="9" fontId="16" fillId="8" borderId="16" xfId="2" applyNumberFormat="1" applyFont="1" applyFill="1" applyBorder="1" applyAlignment="1">
      <alignment horizontal="center" vertical="center"/>
    </xf>
    <xf numFmtId="0" fontId="47" fillId="0" borderId="23" xfId="1" applyFont="1" applyBorder="1" applyAlignment="1">
      <alignment horizontal="center"/>
    </xf>
    <xf numFmtId="0" fontId="47" fillId="0" borderId="0" xfId="1" applyFont="1" applyAlignment="1">
      <alignment horizontal="center"/>
    </xf>
    <xf numFmtId="0" fontId="13" fillId="0" borderId="1" xfId="2" applyFont="1" applyBorder="1" applyAlignment="1">
      <alignment horizontal="center" vertical="center" textRotation="45" wrapText="1"/>
    </xf>
    <xf numFmtId="0" fontId="17" fillId="2" borderId="4" xfId="2" applyFont="1" applyFill="1" applyBorder="1" applyAlignment="1">
      <alignment vertical="center"/>
    </xf>
    <xf numFmtId="0" fontId="17" fillId="2" borderId="12" xfId="2" applyFont="1" applyFill="1" applyBorder="1" applyAlignment="1">
      <alignment vertical="center"/>
    </xf>
    <xf numFmtId="0" fontId="17" fillId="2" borderId="6" xfId="2" applyFont="1" applyFill="1" applyBorder="1" applyAlignment="1">
      <alignment vertical="center"/>
    </xf>
    <xf numFmtId="0" fontId="81" fillId="30" borderId="5" xfId="2" applyFont="1" applyFill="1" applyBorder="1" applyAlignment="1">
      <alignment horizontal="center" vertical="center" wrapText="1"/>
    </xf>
    <xf numFmtId="0" fontId="81" fillId="30" borderId="6" xfId="2" applyFont="1" applyFill="1" applyBorder="1" applyAlignment="1">
      <alignment horizontal="center" vertical="center" wrapText="1"/>
    </xf>
    <xf numFmtId="9" fontId="16" fillId="8" borderId="2" xfId="3" applyFont="1" applyFill="1" applyBorder="1" applyAlignment="1">
      <alignment horizontal="center" vertical="center" wrapText="1"/>
    </xf>
    <xf numFmtId="9" fontId="16" fillId="8" borderId="4" xfId="3" applyFont="1" applyFill="1" applyBorder="1" applyAlignment="1">
      <alignment horizontal="center" vertical="center" wrapText="1"/>
    </xf>
    <xf numFmtId="9" fontId="16" fillId="8" borderId="11" xfId="3" applyFont="1" applyFill="1" applyBorder="1" applyAlignment="1">
      <alignment horizontal="center" vertical="center" wrapText="1"/>
    </xf>
    <xf numFmtId="9" fontId="16" fillId="8" borderId="12" xfId="3" applyFont="1" applyFill="1" applyBorder="1" applyAlignment="1">
      <alignment horizontal="center" vertical="center" wrapText="1"/>
    </xf>
    <xf numFmtId="9" fontId="16" fillId="8" borderId="17" xfId="3" applyFont="1" applyFill="1" applyBorder="1" applyAlignment="1">
      <alignment horizontal="center" vertical="center" wrapText="1"/>
    </xf>
    <xf numFmtId="9" fontId="16" fillId="8" borderId="34" xfId="3" applyFont="1" applyFill="1" applyBorder="1" applyAlignment="1">
      <alignment horizontal="center" vertical="center" wrapText="1"/>
    </xf>
    <xf numFmtId="0" fontId="45" fillId="0" borderId="22" xfId="2" applyFont="1" applyBorder="1" applyAlignment="1">
      <alignment horizontal="justify" vertical="center" wrapText="1"/>
    </xf>
    <xf numFmtId="0" fontId="45" fillId="0" borderId="47" xfId="2" applyFont="1" applyBorder="1" applyAlignment="1">
      <alignment horizontal="justify" vertical="center" wrapText="1"/>
    </xf>
    <xf numFmtId="0" fontId="22" fillId="10" borderId="7" xfId="11" applyFont="1" applyFill="1" applyBorder="1" applyAlignment="1">
      <alignment horizontal="center" vertical="center" wrapText="1"/>
    </xf>
    <xf numFmtId="0" fontId="59" fillId="10" borderId="13" xfId="2" applyFont="1" applyFill="1" applyBorder="1" applyAlignment="1">
      <alignment horizontal="center" vertical="center" wrapText="1"/>
    </xf>
    <xf numFmtId="0" fontId="59" fillId="10" borderId="27" xfId="2" applyFont="1" applyFill="1" applyBorder="1" applyAlignment="1">
      <alignment horizontal="center" vertical="center" wrapText="1"/>
    </xf>
    <xf numFmtId="0" fontId="22" fillId="10" borderId="13" xfId="11" applyFont="1" applyFill="1" applyBorder="1" applyAlignment="1">
      <alignment horizontal="center" vertical="center" wrapText="1"/>
    </xf>
    <xf numFmtId="0" fontId="22" fillId="10" borderId="15" xfId="11" applyFont="1" applyFill="1" applyBorder="1" applyAlignment="1">
      <alignment horizontal="center" vertical="center" wrapText="1"/>
    </xf>
    <xf numFmtId="0" fontId="10" fillId="10" borderId="13" xfId="11" applyFill="1" applyBorder="1" applyAlignment="1">
      <alignment horizontal="center" vertical="center" wrapText="1"/>
    </xf>
    <xf numFmtId="0" fontId="10" fillId="10" borderId="27" xfId="11" applyFill="1" applyBorder="1" applyAlignment="1">
      <alignment horizontal="center" vertical="center" wrapText="1"/>
    </xf>
    <xf numFmtId="0" fontId="44" fillId="10" borderId="13" xfId="11" applyFont="1" applyFill="1" applyBorder="1" applyAlignment="1">
      <alignment horizontal="center" vertical="center" wrapText="1"/>
    </xf>
    <xf numFmtId="0" fontId="44" fillId="10" borderId="27" xfId="11" applyFont="1" applyFill="1" applyBorder="1" applyAlignment="1">
      <alignment horizontal="center" vertical="center" wrapText="1"/>
    </xf>
    <xf numFmtId="0" fontId="18" fillId="34" borderId="52" xfId="2" applyFont="1" applyFill="1" applyBorder="1" applyAlignment="1">
      <alignment horizontal="center" vertical="center"/>
    </xf>
    <xf numFmtId="0" fontId="18" fillId="34" borderId="32" xfId="2" applyFont="1" applyFill="1" applyBorder="1" applyAlignment="1">
      <alignment horizontal="center" vertical="center"/>
    </xf>
    <xf numFmtId="0" fontId="18" fillId="34" borderId="55" xfId="2" applyFont="1" applyFill="1" applyBorder="1" applyAlignment="1">
      <alignment horizontal="center" vertical="center"/>
    </xf>
    <xf numFmtId="164" fontId="16" fillId="8" borderId="14" xfId="2" applyNumberFormat="1" applyFont="1" applyFill="1" applyBorder="1" applyAlignment="1">
      <alignment horizontal="center" vertical="center" wrapText="1"/>
    </xf>
    <xf numFmtId="164" fontId="16" fillId="8" borderId="15" xfId="2" applyNumberFormat="1" applyFont="1" applyFill="1" applyBorder="1" applyAlignment="1">
      <alignment horizontal="center" vertical="center" wrapText="1"/>
    </xf>
    <xf numFmtId="164" fontId="16" fillId="8" borderId="16" xfId="2" applyNumberFormat="1" applyFont="1" applyFill="1" applyBorder="1" applyAlignment="1">
      <alignment horizontal="center" vertical="center" wrapText="1"/>
    </xf>
    <xf numFmtId="0" fontId="45" fillId="0" borderId="22" xfId="2" applyFont="1" applyBorder="1" applyAlignment="1">
      <alignment horizontal="center" vertical="center" wrapText="1"/>
    </xf>
    <xf numFmtId="0" fontId="45" fillId="0" borderId="47" xfId="2" applyFont="1" applyBorder="1" applyAlignment="1">
      <alignment horizontal="center" vertical="center" wrapText="1"/>
    </xf>
    <xf numFmtId="0" fontId="60" fillId="0" borderId="27" xfId="2" applyFont="1" applyBorder="1" applyAlignment="1">
      <alignment horizontal="justify" vertical="center" wrapText="1"/>
    </xf>
    <xf numFmtId="0" fontId="60" fillId="0" borderId="7" xfId="2" applyFont="1" applyBorder="1" applyAlignment="1">
      <alignment horizontal="justify" vertical="center" wrapText="1"/>
    </xf>
    <xf numFmtId="0" fontId="45" fillId="0" borderId="13" xfId="2" applyFont="1" applyBorder="1" applyAlignment="1">
      <alignment horizontal="justify" vertical="center" wrapText="1"/>
    </xf>
    <xf numFmtId="0" fontId="18" fillId="34" borderId="5" xfId="2" applyFont="1" applyFill="1" applyBorder="1" applyAlignment="1">
      <alignment horizontal="center" vertical="center"/>
    </xf>
    <xf numFmtId="0" fontId="81" fillId="30" borderId="1" xfId="2" applyFont="1" applyFill="1" applyBorder="1" applyAlignment="1">
      <alignment horizontal="center" vertical="center" wrapText="1"/>
    </xf>
    <xf numFmtId="0" fontId="64" fillId="10" borderId="13" xfId="1" applyFont="1" applyFill="1" applyBorder="1" applyAlignment="1">
      <alignment horizontal="center" vertical="center" wrapText="1"/>
    </xf>
    <xf numFmtId="0" fontId="64" fillId="10" borderId="27" xfId="1" applyFont="1" applyFill="1" applyBorder="1" applyAlignment="1">
      <alignment horizontal="center" vertical="center" wrapText="1"/>
    </xf>
    <xf numFmtId="0" fontId="66" fillId="0" borderId="13" xfId="2" applyFont="1" applyBorder="1" applyAlignment="1">
      <alignment horizontal="center" vertical="center" wrapText="1"/>
    </xf>
    <xf numFmtId="0" fontId="66" fillId="0" borderId="27" xfId="2" applyFont="1" applyBorder="1" applyAlignment="1">
      <alignment horizontal="center" vertical="center" wrapText="1"/>
    </xf>
    <xf numFmtId="0" fontId="67" fillId="0" borderId="13" xfId="2" applyFont="1" applyBorder="1" applyAlignment="1">
      <alignment horizontal="center" vertical="center" wrapText="1"/>
    </xf>
    <xf numFmtId="0" fontId="67" fillId="0" borderId="27" xfId="2" applyFont="1" applyBorder="1" applyAlignment="1">
      <alignment horizontal="center" vertical="center" wrapText="1"/>
    </xf>
    <xf numFmtId="0" fontId="10" fillId="0" borderId="7" xfId="2" applyBorder="1" applyAlignment="1">
      <alignment horizontal="center" vertical="center"/>
    </xf>
    <xf numFmtId="0" fontId="65" fillId="10" borderId="13" xfId="2" applyFont="1" applyFill="1" applyBorder="1" applyAlignment="1">
      <alignment horizontal="center" vertical="center" wrapText="1"/>
    </xf>
    <xf numFmtId="0" fontId="65" fillId="10" borderId="27" xfId="2" applyFont="1" applyFill="1" applyBorder="1" applyAlignment="1">
      <alignment horizontal="center" vertical="center" wrapText="1"/>
    </xf>
    <xf numFmtId="0" fontId="67" fillId="0" borderId="7" xfId="2" applyFont="1" applyBorder="1" applyAlignment="1">
      <alignment horizontal="left" vertical="center" wrapText="1"/>
    </xf>
    <xf numFmtId="17" fontId="63" fillId="9" borderId="15" xfId="2" applyNumberFormat="1" applyFont="1" applyFill="1" applyBorder="1" applyAlignment="1">
      <alignment horizontal="center" vertical="center" wrapText="1"/>
    </xf>
    <xf numFmtId="0" fontId="63" fillId="9" borderId="27" xfId="2" applyFont="1" applyFill="1" applyBorder="1" applyAlignment="1">
      <alignment horizontal="center" vertical="center" wrapText="1"/>
    </xf>
    <xf numFmtId="0" fontId="62" fillId="31" borderId="19" xfId="1" applyFont="1" applyFill="1" applyBorder="1" applyAlignment="1">
      <alignment horizontal="center" vertical="center" wrapText="1"/>
    </xf>
    <xf numFmtId="0" fontId="62" fillId="31" borderId="7" xfId="1" applyFont="1" applyFill="1" applyBorder="1" applyAlignment="1">
      <alignment horizontal="center" vertical="center" wrapText="1"/>
    </xf>
    <xf numFmtId="0" fontId="62" fillId="31" borderId="8" xfId="1" applyFont="1" applyFill="1" applyBorder="1" applyAlignment="1">
      <alignment horizontal="center" vertical="center" wrapText="1"/>
    </xf>
    <xf numFmtId="0" fontId="62" fillId="31" borderId="9" xfId="1" applyFont="1" applyFill="1" applyBorder="1" applyAlignment="1">
      <alignment horizontal="center" vertical="center" wrapText="1"/>
    </xf>
    <xf numFmtId="0" fontId="62" fillId="31" borderId="47" xfId="1" applyFont="1" applyFill="1" applyBorder="1" applyAlignment="1">
      <alignment horizontal="center" vertical="center" wrapText="1"/>
    </xf>
    <xf numFmtId="164" fontId="16" fillId="8" borderId="27" xfId="2" applyNumberFormat="1" applyFont="1" applyFill="1" applyBorder="1" applyAlignment="1">
      <alignment horizontal="center" vertical="center" wrapText="1"/>
    </xf>
    <xf numFmtId="9" fontId="16" fillId="21" borderId="0" xfId="2" applyNumberFormat="1" applyFont="1" applyFill="1" applyAlignment="1">
      <alignment horizontal="center" vertical="center" wrapText="1"/>
    </xf>
    <xf numFmtId="0" fontId="68" fillId="0" borderId="22" xfId="2" applyFont="1" applyBorder="1" applyAlignment="1">
      <alignment horizontal="justify" vertical="center" wrapText="1"/>
    </xf>
    <xf numFmtId="0" fontId="68" fillId="0" borderId="47" xfId="2" applyFont="1" applyBorder="1" applyAlignment="1">
      <alignment horizontal="justify" vertical="center" wrapText="1"/>
    </xf>
    <xf numFmtId="14" fontId="24" fillId="2" borderId="7" xfId="2" applyNumberFormat="1" applyFont="1" applyFill="1" applyBorder="1" applyAlignment="1">
      <alignment horizontal="center" vertical="center" wrapText="1"/>
    </xf>
    <xf numFmtId="0" fontId="1" fillId="2" borderId="7"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68" fillId="0" borderId="12" xfId="2" applyFont="1" applyBorder="1" applyAlignment="1">
      <alignment horizontal="center" vertical="center" wrapText="1"/>
    </xf>
    <xf numFmtId="0" fontId="68"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68" fillId="0" borderId="27" xfId="2" applyFont="1" applyBorder="1" applyAlignment="1">
      <alignment horizontal="justify" vertical="center" wrapText="1"/>
    </xf>
    <xf numFmtId="0" fontId="68" fillId="0" borderId="7" xfId="2" applyFont="1" applyBorder="1" applyAlignment="1">
      <alignment horizontal="justify" vertical="center" wrapText="1"/>
    </xf>
    <xf numFmtId="9" fontId="22" fillId="10" borderId="7" xfId="2" applyNumberFormat="1"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5" xfId="2" applyFont="1" applyFill="1" applyBorder="1" applyAlignment="1">
      <alignment horizontal="center" vertical="center" wrapText="1"/>
    </xf>
    <xf numFmtId="14" fontId="24" fillId="2" borderId="2" xfId="2" applyNumberFormat="1" applyFont="1" applyFill="1" applyBorder="1" applyAlignment="1">
      <alignment horizontal="center" vertical="center" wrapText="1"/>
    </xf>
    <xf numFmtId="14" fontId="24" fillId="2" borderId="5" xfId="2" applyNumberFormat="1" applyFont="1" applyFill="1" applyBorder="1" applyAlignment="1">
      <alignment horizontal="center" vertical="center" wrapText="1"/>
    </xf>
    <xf numFmtId="0" fontId="1" fillId="2" borderId="13" xfId="2" applyFont="1" applyFill="1" applyBorder="1" applyAlignment="1">
      <alignment horizontal="center" vertical="center" wrapText="1"/>
    </xf>
    <xf numFmtId="0" fontId="1" fillId="2" borderId="27" xfId="2" applyFont="1" applyFill="1" applyBorder="1" applyAlignment="1">
      <alignment horizontal="center" vertical="center" wrapText="1"/>
    </xf>
    <xf numFmtId="9" fontId="22" fillId="10" borderId="13" xfId="2" applyNumberFormat="1" applyFont="1" applyFill="1" applyBorder="1" applyAlignment="1">
      <alignment horizontal="center" vertical="center" wrapText="1"/>
    </xf>
    <xf numFmtId="9" fontId="22" fillId="10" borderId="15" xfId="2" applyNumberFormat="1" applyFont="1" applyFill="1" applyBorder="1" applyAlignment="1">
      <alignment horizontal="center" vertical="center" wrapText="1"/>
    </xf>
    <xf numFmtId="9" fontId="22" fillId="10" borderId="27" xfId="2" applyNumberFormat="1" applyFont="1" applyFill="1" applyBorder="1" applyAlignment="1">
      <alignment horizontal="center" vertical="center" wrapText="1"/>
    </xf>
    <xf numFmtId="0" fontId="22" fillId="0" borderId="13" xfId="2" applyFont="1" applyBorder="1" applyAlignment="1">
      <alignment horizontal="center" vertical="center" wrapText="1"/>
    </xf>
    <xf numFmtId="0" fontId="22" fillId="0" borderId="15" xfId="2" applyFont="1" applyBorder="1" applyAlignment="1">
      <alignment horizontal="center" vertical="center" wrapText="1"/>
    </xf>
    <xf numFmtId="0" fontId="68" fillId="0" borderId="13" xfId="2" applyFont="1" applyBorder="1" applyAlignment="1">
      <alignment horizontal="center" vertical="center" wrapText="1"/>
    </xf>
    <xf numFmtId="0" fontId="68" fillId="0" borderId="27" xfId="2" applyFont="1" applyBorder="1" applyAlignment="1">
      <alignment horizontal="center" vertical="center" wrapText="1"/>
    </xf>
    <xf numFmtId="0" fontId="22" fillId="0" borderId="27" xfId="2" applyFont="1" applyBorder="1" applyAlignment="1">
      <alignment horizontal="center" vertical="center" wrapText="1"/>
    </xf>
    <xf numFmtId="0" fontId="22" fillId="28" borderId="13" xfId="2" applyFont="1" applyFill="1" applyBorder="1" applyAlignment="1">
      <alignment horizontal="center" vertical="center" wrapText="1"/>
    </xf>
    <xf numFmtId="0" fontId="22" fillId="28" borderId="27" xfId="2" applyFont="1" applyFill="1" applyBorder="1" applyAlignment="1">
      <alignment horizontal="center" vertical="center" wrapText="1"/>
    </xf>
    <xf numFmtId="0" fontId="18" fillId="34" borderId="11" xfId="2" applyFont="1" applyFill="1" applyBorder="1" applyAlignment="1">
      <alignment horizontal="center" vertical="center"/>
    </xf>
    <xf numFmtId="0" fontId="18" fillId="34" borderId="0" xfId="2" applyFont="1" applyFill="1" applyAlignment="1">
      <alignment horizontal="center" vertical="center"/>
    </xf>
    <xf numFmtId="0" fontId="18" fillId="34" borderId="48" xfId="2" applyFont="1" applyFill="1" applyBorder="1" applyAlignment="1">
      <alignment horizontal="center" vertical="center"/>
    </xf>
    <xf numFmtId="0" fontId="18" fillId="34" borderId="56" xfId="2" applyFont="1" applyFill="1" applyBorder="1" applyAlignment="1">
      <alignment horizontal="center" vertical="center"/>
    </xf>
    <xf numFmtId="0" fontId="18" fillId="34" borderId="9" xfId="2" applyFont="1" applyFill="1" applyBorder="1" applyAlignment="1">
      <alignment horizontal="center" vertical="center"/>
    </xf>
    <xf numFmtId="0" fontId="18" fillId="34" borderId="47" xfId="2" applyFont="1" applyFill="1" applyBorder="1" applyAlignment="1">
      <alignment horizontal="center" vertical="center"/>
    </xf>
    <xf numFmtId="0" fontId="71" fillId="0" borderId="0" xfId="1" applyFont="1"/>
    <xf numFmtId="0" fontId="22" fillId="0" borderId="0" xfId="1" applyFont="1"/>
    <xf numFmtId="0" fontId="64" fillId="10" borderId="7" xfId="1" applyFont="1" applyFill="1" applyBorder="1" applyAlignment="1">
      <alignment horizontal="center" vertical="center" wrapText="1"/>
    </xf>
    <xf numFmtId="0" fontId="64" fillId="10" borderId="28" xfId="1" applyFont="1" applyFill="1" applyBorder="1" applyAlignment="1">
      <alignment horizontal="center" vertical="center" wrapText="1"/>
    </xf>
    <xf numFmtId="0" fontId="75" fillId="10" borderId="7" xfId="1" applyFont="1" applyFill="1" applyBorder="1" applyAlignment="1">
      <alignment horizontal="center" vertical="center" wrapText="1"/>
    </xf>
    <xf numFmtId="0" fontId="75" fillId="10" borderId="28" xfId="1" applyFont="1" applyFill="1" applyBorder="1" applyAlignment="1">
      <alignment horizontal="center" vertical="center" wrapText="1"/>
    </xf>
    <xf numFmtId="14" fontId="64" fillId="0" borderId="7" xfId="1" applyNumberFormat="1" applyFont="1" applyBorder="1" applyAlignment="1">
      <alignment horizontal="center" vertical="center"/>
    </xf>
    <xf numFmtId="14" fontId="64" fillId="0" borderId="28" xfId="1" applyNumberFormat="1" applyFont="1" applyBorder="1" applyAlignment="1">
      <alignment horizontal="center" vertical="center"/>
    </xf>
    <xf numFmtId="0" fontId="64" fillId="10" borderId="7" xfId="2" applyFont="1" applyFill="1" applyBorder="1" applyAlignment="1">
      <alignment horizontal="center" vertical="center" wrapText="1"/>
    </xf>
    <xf numFmtId="0" fontId="64" fillId="10" borderId="28" xfId="2" applyFont="1" applyFill="1" applyBorder="1" applyAlignment="1">
      <alignment horizontal="center" vertical="center" wrapText="1"/>
    </xf>
    <xf numFmtId="0" fontId="75" fillId="10" borderId="27" xfId="1" applyFont="1" applyFill="1" applyBorder="1" applyAlignment="1">
      <alignment horizontal="center" vertical="center" wrapText="1"/>
    </xf>
    <xf numFmtId="14" fontId="64" fillId="0" borderId="27" xfId="1" applyNumberFormat="1" applyFont="1" applyBorder="1" applyAlignment="1">
      <alignment horizontal="center" vertical="center"/>
    </xf>
    <xf numFmtId="0" fontId="75" fillId="0" borderId="7" xfId="1" applyFont="1" applyBorder="1" applyAlignment="1">
      <alignment horizontal="center" vertical="center" wrapText="1"/>
    </xf>
    <xf numFmtId="0" fontId="73" fillId="10" borderId="29" xfId="1" applyFont="1" applyFill="1" applyBorder="1" applyAlignment="1">
      <alignment horizontal="center" vertical="center" wrapText="1"/>
    </xf>
    <xf numFmtId="0" fontId="72" fillId="0" borderId="49" xfId="1" applyFont="1" applyBorder="1" applyAlignment="1">
      <alignment horizontal="center" vertical="center"/>
    </xf>
    <xf numFmtId="0" fontId="72" fillId="0" borderId="23" xfId="1" applyFont="1" applyBorder="1" applyAlignment="1">
      <alignment horizontal="center" vertical="center"/>
    </xf>
    <xf numFmtId="0" fontId="72" fillId="0" borderId="53" xfId="1" applyFont="1" applyBorder="1" applyAlignment="1">
      <alignment horizontal="center" vertical="center"/>
    </xf>
    <xf numFmtId="0" fontId="64" fillId="10" borderId="27" xfId="2" applyFont="1" applyFill="1" applyBorder="1" applyAlignment="1">
      <alignment horizontal="center" vertical="center" wrapText="1"/>
    </xf>
    <xf numFmtId="0" fontId="74" fillId="11" borderId="27" xfId="1" applyFont="1" applyFill="1" applyBorder="1" applyAlignment="1">
      <alignment horizontal="center" vertical="center" wrapText="1"/>
    </xf>
    <xf numFmtId="0" fontId="74" fillId="11" borderId="7" xfId="1" applyFont="1" applyFill="1" applyBorder="1" applyAlignment="1">
      <alignment horizontal="center" vertical="center" wrapText="1"/>
    </xf>
    <xf numFmtId="0" fontId="74" fillId="11" borderId="28" xfId="1" applyFont="1" applyFill="1" applyBorder="1" applyAlignment="1">
      <alignment horizontal="center" vertical="center" wrapText="1"/>
    </xf>
    <xf numFmtId="0" fontId="72" fillId="0" borderId="54" xfId="1" applyFont="1" applyBorder="1" applyAlignment="1">
      <alignment horizontal="center" vertical="center"/>
    </xf>
    <xf numFmtId="0" fontId="64" fillId="0" borderId="7" xfId="1" applyFont="1" applyBorder="1" applyAlignment="1">
      <alignment horizontal="center" vertical="center" wrapText="1"/>
    </xf>
    <xf numFmtId="0" fontId="64" fillId="0" borderId="28" xfId="1" applyFont="1" applyBorder="1" applyAlignment="1">
      <alignment horizontal="center" vertical="center" wrapText="1"/>
    </xf>
    <xf numFmtId="9" fontId="29" fillId="2" borderId="13" xfId="2" applyNumberFormat="1" applyFont="1" applyFill="1" applyBorder="1" applyAlignment="1">
      <alignment horizontal="center" vertical="center" wrapText="1"/>
    </xf>
    <xf numFmtId="9" fontId="29" fillId="2" borderId="27" xfId="2" applyNumberFormat="1" applyFont="1" applyFill="1" applyBorder="1" applyAlignment="1">
      <alignment horizontal="center" vertical="center" wrapText="1"/>
    </xf>
    <xf numFmtId="0" fontId="74" fillId="26" borderId="7" xfId="1" applyFont="1" applyFill="1" applyBorder="1" applyAlignment="1">
      <alignment horizontal="center" vertical="center" wrapText="1"/>
    </xf>
    <xf numFmtId="0" fontId="74" fillId="26" borderId="28" xfId="1" applyFont="1" applyFill="1" applyBorder="1" applyAlignment="1">
      <alignment horizontal="center" vertical="center" wrapText="1"/>
    </xf>
    <xf numFmtId="0" fontId="72" fillId="0" borderId="21" xfId="1" applyFont="1" applyBorder="1" applyAlignment="1">
      <alignment horizontal="center" vertical="center"/>
    </xf>
    <xf numFmtId="0" fontId="64" fillId="18" borderId="7" xfId="1" applyFont="1" applyFill="1" applyBorder="1" applyAlignment="1">
      <alignment horizontal="center" vertical="center" wrapText="1"/>
    </xf>
    <xf numFmtId="0" fontId="34" fillId="10" borderId="7" xfId="1" applyFont="1" applyFill="1" applyBorder="1" applyAlignment="1">
      <alignment horizontal="center" vertical="center" wrapText="1"/>
    </xf>
    <xf numFmtId="0" fontId="76" fillId="29" borderId="9" xfId="1" applyFont="1" applyFill="1" applyBorder="1" applyAlignment="1">
      <alignment horizontal="left" vertical="center" wrapText="1"/>
    </xf>
    <xf numFmtId="0" fontId="76" fillId="29" borderId="7" xfId="1" applyFont="1" applyFill="1" applyBorder="1" applyAlignment="1">
      <alignment horizontal="left" vertical="center" wrapText="1"/>
    </xf>
    <xf numFmtId="0" fontId="74" fillId="25" borderId="7" xfId="1" applyFont="1" applyFill="1" applyBorder="1" applyAlignment="1">
      <alignment horizontal="center" vertical="center" wrapText="1"/>
    </xf>
    <xf numFmtId="0" fontId="74" fillId="25" borderId="28" xfId="1" applyFont="1" applyFill="1" applyBorder="1" applyAlignment="1">
      <alignment horizontal="center" vertical="center" wrapText="1"/>
    </xf>
    <xf numFmtId="0" fontId="64" fillId="18" borderId="28" xfId="1" applyFont="1" applyFill="1" applyBorder="1" applyAlignment="1">
      <alignment horizontal="center" vertical="center" wrapText="1"/>
    </xf>
    <xf numFmtId="0" fontId="22" fillId="10" borderId="0" xfId="1" applyFont="1" applyFill="1"/>
    <xf numFmtId="0" fontId="74" fillId="24" borderId="7" xfId="1" applyFont="1" applyFill="1" applyBorder="1" applyAlignment="1">
      <alignment horizontal="center" vertical="center" wrapText="1"/>
    </xf>
    <xf numFmtId="0" fontId="72" fillId="10" borderId="49" xfId="1" applyFont="1" applyFill="1" applyBorder="1" applyAlignment="1">
      <alignment horizontal="center" vertical="center"/>
    </xf>
    <xf numFmtId="0" fontId="72" fillId="10" borderId="23" xfId="1" applyFont="1" applyFill="1" applyBorder="1" applyAlignment="1">
      <alignment horizontal="center" vertical="center"/>
    </xf>
    <xf numFmtId="0" fontId="72" fillId="10" borderId="53" xfId="1" applyFont="1" applyFill="1" applyBorder="1" applyAlignment="1">
      <alignment horizontal="center" vertical="center"/>
    </xf>
    <xf numFmtId="0" fontId="77" fillId="10" borderId="7" xfId="1" applyFont="1" applyFill="1" applyBorder="1" applyAlignment="1">
      <alignment horizontal="center" vertical="center" wrapText="1"/>
    </xf>
    <xf numFmtId="0" fontId="74" fillId="23" borderId="7" xfId="1" applyFont="1" applyFill="1" applyBorder="1" applyAlignment="1">
      <alignment horizontal="center" vertical="center" wrapText="1"/>
    </xf>
    <xf numFmtId="0" fontId="22" fillId="0" borderId="11" xfId="1" applyFont="1" applyBorder="1" applyAlignment="1">
      <alignment horizontal="center"/>
    </xf>
    <xf numFmtId="0" fontId="22" fillId="0" borderId="0" xfId="1" applyFont="1" applyAlignment="1">
      <alignment horizontal="center"/>
    </xf>
    <xf numFmtId="0" fontId="81" fillId="30" borderId="7" xfId="2" applyFont="1" applyFill="1" applyBorder="1" applyAlignment="1">
      <alignment horizontal="center" vertical="center" wrapText="1"/>
    </xf>
    <xf numFmtId="164" fontId="16" fillId="8" borderId="7" xfId="2" applyNumberFormat="1" applyFont="1" applyFill="1" applyBorder="1" applyAlignment="1">
      <alignment horizontal="center" vertical="center" wrapText="1"/>
    </xf>
    <xf numFmtId="9" fontId="17" fillId="2" borderId="7" xfId="3" applyFont="1" applyFill="1" applyBorder="1" applyAlignment="1">
      <alignment horizontal="left" vertical="center"/>
    </xf>
    <xf numFmtId="0" fontId="18" fillId="31" borderId="31" xfId="2" applyFont="1" applyFill="1" applyBorder="1" applyAlignment="1">
      <alignment horizontal="center" vertical="center" wrapText="1"/>
    </xf>
    <xf numFmtId="0" fontId="18" fillId="34" borderId="17" xfId="2" applyFont="1" applyFill="1" applyBorder="1" applyAlignment="1">
      <alignment horizontal="center" vertical="center"/>
    </xf>
    <xf numFmtId="0" fontId="18" fillId="34" borderId="31" xfId="2" applyFont="1" applyFill="1" applyBorder="1" applyAlignment="1">
      <alignment horizontal="center" vertical="center"/>
    </xf>
    <xf numFmtId="0" fontId="18" fillId="34" borderId="34" xfId="2" applyFont="1" applyFill="1" applyBorder="1" applyAlignment="1">
      <alignment horizontal="center" vertical="center"/>
    </xf>
    <xf numFmtId="0" fontId="22" fillId="27" borderId="13" xfId="2" applyFont="1" applyFill="1" applyBorder="1" applyAlignment="1">
      <alignment horizontal="center" vertical="center" wrapText="1"/>
    </xf>
    <xf numFmtId="0" fontId="22" fillId="27" borderId="27" xfId="2" applyFont="1" applyFill="1" applyBorder="1" applyAlignment="1">
      <alignment horizontal="center" vertical="center" wrapText="1"/>
    </xf>
    <xf numFmtId="14" fontId="24" fillId="10" borderId="27" xfId="2" applyNumberFormat="1" applyFont="1" applyFill="1" applyBorder="1" applyAlignment="1">
      <alignment horizontal="center" vertical="center" wrapText="1"/>
    </xf>
    <xf numFmtId="0" fontId="10" fillId="0" borderId="27" xfId="2" applyBorder="1" applyAlignment="1">
      <alignment horizontal="justify" vertical="center" wrapText="1"/>
    </xf>
    <xf numFmtId="0" fontId="10" fillId="0" borderId="7" xfId="2" applyBorder="1" applyAlignment="1">
      <alignment horizontal="justify" vertical="center" wrapText="1"/>
    </xf>
    <xf numFmtId="0" fontId="44" fillId="0" borderId="0" xfId="2" applyFont="1" applyAlignment="1">
      <alignment horizontal="center" vertical="center" wrapText="1"/>
    </xf>
    <xf numFmtId="0" fontId="44" fillId="0" borderId="7" xfId="2" applyFont="1" applyBorder="1" applyAlignment="1">
      <alignment horizontal="center" vertical="center" wrapText="1"/>
    </xf>
    <xf numFmtId="0" fontId="18" fillId="34" borderId="57" xfId="2" applyFont="1" applyFill="1" applyBorder="1" applyAlignment="1">
      <alignment horizontal="center" vertical="center"/>
    </xf>
    <xf numFmtId="0" fontId="18" fillId="33" borderId="53" xfId="2" applyFont="1" applyFill="1" applyBorder="1" applyAlignment="1">
      <alignment horizontal="center" vertical="center"/>
    </xf>
    <xf numFmtId="0" fontId="18" fillId="33" borderId="31" xfId="2" applyFont="1" applyFill="1" applyBorder="1" applyAlignment="1">
      <alignment horizontal="center" vertical="center"/>
    </xf>
    <xf numFmtId="0" fontId="10" fillId="0" borderId="6" xfId="2" applyBorder="1" applyAlignment="1">
      <alignment horizontal="left" vertical="center" wrapText="1"/>
    </xf>
    <xf numFmtId="0" fontId="10" fillId="10" borderId="13" xfId="2" applyFill="1" applyBorder="1" applyAlignment="1">
      <alignment horizontal="center" vertical="center" wrapText="1"/>
    </xf>
    <xf numFmtId="0" fontId="10" fillId="10" borderId="27" xfId="2" applyFill="1" applyBorder="1" applyAlignment="1">
      <alignment horizontal="center" vertical="center" wrapText="1"/>
    </xf>
    <xf numFmtId="0" fontId="44" fillId="10" borderId="13" xfId="2" applyFont="1" applyFill="1" applyBorder="1" applyAlignment="1">
      <alignment horizontal="center" vertical="center" wrapText="1"/>
    </xf>
    <xf numFmtId="0" fontId="44" fillId="10" borderId="27" xfId="2" applyFont="1" applyFill="1" applyBorder="1" applyAlignment="1">
      <alignment horizontal="center" vertical="center" wrapText="1"/>
    </xf>
    <xf numFmtId="0" fontId="79" fillId="0" borderId="13" xfId="2" applyFont="1" applyBorder="1" applyAlignment="1">
      <alignment horizontal="center" vertical="center" wrapText="1"/>
    </xf>
    <xf numFmtId="0" fontId="79" fillId="0" borderId="27" xfId="2" applyFont="1" applyBorder="1" applyAlignment="1">
      <alignment horizontal="center" vertical="center" wrapText="1"/>
    </xf>
    <xf numFmtId="0" fontId="10" fillId="0" borderId="13" xfId="2" applyBorder="1" applyAlignment="1">
      <alignment horizontal="center" vertical="center"/>
    </xf>
    <xf numFmtId="0" fontId="10" fillId="0" borderId="15" xfId="2" applyBorder="1" applyAlignment="1">
      <alignment horizontal="center" vertical="center"/>
    </xf>
    <xf numFmtId="14" fontId="44" fillId="0" borderId="13" xfId="2" applyNumberFormat="1" applyFont="1" applyBorder="1" applyAlignment="1">
      <alignment horizontal="center" vertical="center" wrapText="1"/>
    </xf>
    <xf numFmtId="14" fontId="44" fillId="0" borderId="27" xfId="2" applyNumberFormat="1" applyFont="1" applyBorder="1" applyAlignment="1">
      <alignment horizontal="center" vertical="center" wrapText="1"/>
    </xf>
    <xf numFmtId="0" fontId="10" fillId="0" borderId="7" xfId="2" applyBorder="1" applyAlignment="1">
      <alignment horizontal="left" vertical="center" wrapText="1"/>
    </xf>
    <xf numFmtId="0" fontId="10" fillId="0" borderId="13" xfId="2" applyBorder="1" applyAlignment="1">
      <alignment horizontal="center" vertical="center" wrapText="1"/>
    </xf>
    <xf numFmtId="0" fontId="10" fillId="0" borderId="27" xfId="2" applyBorder="1" applyAlignment="1">
      <alignment horizontal="center" vertical="center" wrapText="1"/>
    </xf>
    <xf numFmtId="14" fontId="44" fillId="10" borderId="13" xfId="2" applyNumberFormat="1" applyFont="1" applyFill="1" applyBorder="1" applyAlignment="1">
      <alignment horizontal="center" vertical="center" wrapText="1"/>
    </xf>
    <xf numFmtId="14" fontId="44" fillId="10" borderId="27" xfId="2" applyNumberFormat="1" applyFont="1" applyFill="1" applyBorder="1" applyAlignment="1">
      <alignment horizontal="center" vertical="center" wrapText="1"/>
    </xf>
    <xf numFmtId="0" fontId="10" fillId="0" borderId="13" xfId="2" applyBorder="1" applyAlignment="1">
      <alignment horizontal="left" vertical="center" wrapText="1"/>
    </xf>
    <xf numFmtId="0" fontId="10" fillId="0" borderId="27" xfId="2" applyBorder="1" applyAlignment="1">
      <alignment horizontal="left" vertical="center" wrapText="1"/>
    </xf>
    <xf numFmtId="0" fontId="44" fillId="0" borderId="13" xfId="2" applyFont="1" applyBorder="1" applyAlignment="1">
      <alignment horizontal="center" vertical="center" wrapText="1"/>
    </xf>
    <xf numFmtId="0" fontId="44" fillId="0" borderId="27" xfId="2" applyFont="1" applyBorder="1" applyAlignment="1">
      <alignment horizontal="center" vertical="center" wrapText="1"/>
    </xf>
    <xf numFmtId="0" fontId="78" fillId="2" borderId="7" xfId="2" applyFont="1" applyFill="1" applyBorder="1" applyAlignment="1">
      <alignment vertical="center" wrapText="1"/>
    </xf>
    <xf numFmtId="0" fontId="78" fillId="2" borderId="7" xfId="2" applyFont="1" applyFill="1" applyBorder="1" applyAlignment="1">
      <alignment vertical="center"/>
    </xf>
  </cellXfs>
  <cellStyles count="14">
    <cellStyle name="BodyStyle" xfId="9" xr:uid="{14D2B3C6-CD5B-4DF4-809E-3C3046E6F95E}"/>
    <cellStyle name="Millares [0] 2" xfId="10" xr:uid="{442CF00A-71F5-41D9-BBB0-206181717129}"/>
    <cellStyle name="Moneda [0] 2" xfId="5" xr:uid="{D0F03D59-AF38-4F18-BF46-44FF0AA18387}"/>
    <cellStyle name="Moneda [0] 3" xfId="6" xr:uid="{F337AAFD-0E08-48BC-A71D-E481C1B6F929}"/>
    <cellStyle name="Moneda 2" xfId="7" xr:uid="{CE7C78EF-0F7D-4584-B1A4-DBE3552BAD05}"/>
    <cellStyle name="Normal" xfId="0" builtinId="0"/>
    <cellStyle name="Normal 2" xfId="2" xr:uid="{0D6491F1-1E5A-4F0A-A623-3BEE5C3BAA60}"/>
    <cellStyle name="Normal 3" xfId="1" xr:uid="{0549BBC6-27EC-4107-BCEA-48E31C573499}"/>
    <cellStyle name="Normal 3 2" xfId="8" xr:uid="{08A3392E-45EF-4FE1-B53E-084D469984D4}"/>
    <cellStyle name="Normal 3 3" xfId="12" xr:uid="{9888D142-A35C-48A3-8B76-3354FBCF69D4}"/>
    <cellStyle name="Normal 4" xfId="11" xr:uid="{D03870CF-D778-469A-BC43-2FA77401A9FD}"/>
    <cellStyle name="Normal 98" xfId="4" xr:uid="{8FBEEC5A-2E24-4A04-AB80-DDA1C998F9FB}"/>
    <cellStyle name="Porcentaje" xfId="13" builtinId="5"/>
    <cellStyle name="Porcentaje 2" xfId="3" xr:uid="{D746C4F3-EDC3-4CF8-8A01-3D9A3D3A121D}"/>
  </cellStyles>
  <dxfs count="208">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B531A8"/>
      <color rgb="FFF737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07. PIC'!&#193;rea_de_impresi&#243;n"/><Relationship Id="rId13" Type="http://schemas.openxmlformats.org/officeDocument/2006/relationships/hyperlink" Target="#'08. PII'!&#193;rea_de_impresi&#243;n"/><Relationship Id="rId3" Type="http://schemas.openxmlformats.org/officeDocument/2006/relationships/hyperlink" Target="#'13.PSPI'!A1"/><Relationship Id="rId7" Type="http://schemas.openxmlformats.org/officeDocument/2006/relationships/hyperlink" Target="#'09. PSST'!&#193;rea_de_impresi&#243;n"/><Relationship Id="rId12" Type="http://schemas.openxmlformats.org/officeDocument/2006/relationships/hyperlink" Target="#'06. PIC'!A1"/><Relationship Id="rId17" Type="http://schemas.openxmlformats.org/officeDocument/2006/relationships/image" Target="../media/image4.svg"/><Relationship Id="rId2" Type="http://schemas.openxmlformats.org/officeDocument/2006/relationships/hyperlink" Target="#'02. PINAR'!&#193;rea_de_impresi&#243;n"/><Relationship Id="rId16" Type="http://schemas.openxmlformats.org/officeDocument/2006/relationships/image" Target="../media/image3.png"/><Relationship Id="rId1" Type="http://schemas.openxmlformats.org/officeDocument/2006/relationships/hyperlink" Target="#'01. INSTITUCIONAL'!&#193;rea_de_impresi&#243;n"/><Relationship Id="rId6" Type="http://schemas.openxmlformats.org/officeDocument/2006/relationships/hyperlink" Target="#'10 PAAC'!&#193;rea_de_impresi&#243;n"/><Relationship Id="rId11" Type="http://schemas.openxmlformats.org/officeDocument/2006/relationships/hyperlink" Target="#'06. PETH'!A1"/><Relationship Id="rId5" Type="http://schemas.openxmlformats.org/officeDocument/2006/relationships/hyperlink" Target="#'11.PETI'!&#193;rea_de_impresi&#243;n"/><Relationship Id="rId15" Type="http://schemas.openxmlformats.org/officeDocument/2006/relationships/image" Target="../media/image2.png"/><Relationship Id="rId10" Type="http://schemas.openxmlformats.org/officeDocument/2006/relationships/hyperlink" Target="#'03. PAA'!&#193;rea_de_impresi&#243;n"/><Relationship Id="rId4" Type="http://schemas.openxmlformats.org/officeDocument/2006/relationships/hyperlink" Target="#'12. PTRSPI'!A1"/><Relationship Id="rId9" Type="http://schemas.openxmlformats.org/officeDocument/2006/relationships/hyperlink" Target="#'06. PETH'!&#193;rea_de_impresi&#243;n"/><Relationship Id="rId1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3.png"/><Relationship Id="rId5" Type="http://schemas.openxmlformats.org/officeDocument/2006/relationships/image" Target="../media/image7.png"/><Relationship Id="rId4"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4.png"/><Relationship Id="rId5" Type="http://schemas.openxmlformats.org/officeDocument/2006/relationships/image" Target="../media/image7.png"/><Relationship Id="rId4"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4.png"/><Relationship Id="rId5" Type="http://schemas.openxmlformats.org/officeDocument/2006/relationships/image" Target="../media/image7.png"/><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9.png"/><Relationship Id="rId5" Type="http://schemas.openxmlformats.org/officeDocument/2006/relationships/image" Target="../media/image7.png"/><Relationship Id="rId4"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0.png"/><Relationship Id="rId5" Type="http://schemas.openxmlformats.org/officeDocument/2006/relationships/image" Target="../media/image7.png"/><Relationship Id="rId4"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1.png"/><Relationship Id="rId5" Type="http://schemas.openxmlformats.org/officeDocument/2006/relationships/image" Target="../media/image7.png"/><Relationship Id="rId4"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1.png"/><Relationship Id="rId5" Type="http://schemas.openxmlformats.org/officeDocument/2006/relationships/image" Target="../media/image7.png"/><Relationship Id="rId4"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2.png"/><Relationship Id="rId5" Type="http://schemas.openxmlformats.org/officeDocument/2006/relationships/image" Target="../media/image7.png"/><Relationship Id="rId4" Type="http://schemas.openxmlformats.org/officeDocument/2006/relationships/hyperlink" Target="#INICI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6</xdr:col>
      <xdr:colOff>564844</xdr:colOff>
      <xdr:row>6</xdr:row>
      <xdr:rowOff>11956</xdr:rowOff>
    </xdr:from>
    <xdr:to>
      <xdr:col>9</xdr:col>
      <xdr:colOff>409298</xdr:colOff>
      <xdr:row>18</xdr:row>
      <xdr:rowOff>140798</xdr:rowOff>
    </xdr:to>
    <xdr:sp macro="" textlink="">
      <xdr:nvSpPr>
        <xdr:cNvPr id="2" name="Lágrima 1">
          <a:extLst>
            <a:ext uri="{FF2B5EF4-FFF2-40B4-BE49-F238E27FC236}">
              <a16:creationId xmlns:a16="http://schemas.microsoft.com/office/drawing/2014/main" id="{28B5450B-3454-4617-9D1B-208C40618B29}"/>
            </a:ext>
          </a:extLst>
        </xdr:cNvPr>
        <xdr:cNvSpPr/>
      </xdr:nvSpPr>
      <xdr:spPr>
        <a:xfrm rot="19034445">
          <a:off x="5682944" y="989856"/>
          <a:ext cx="2301904" cy="2421192"/>
        </a:xfrm>
        <a:prstGeom prst="teardrop">
          <a:avLst/>
        </a:prstGeom>
        <a:solidFill>
          <a:srgbClr val="532963"/>
        </a:solidFill>
        <a:ln>
          <a:solidFill>
            <a:srgbClr val="53296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4</xdr:col>
      <xdr:colOff>368300</xdr:colOff>
      <xdr:row>21</xdr:row>
      <xdr:rowOff>88900</xdr:rowOff>
    </xdr:from>
    <xdr:to>
      <xdr:col>11</xdr:col>
      <xdr:colOff>396875</xdr:colOff>
      <xdr:row>45</xdr:row>
      <xdr:rowOff>184150</xdr:rowOff>
    </xdr:to>
    <xdr:sp macro="" textlink="">
      <xdr:nvSpPr>
        <xdr:cNvPr id="3" name="TextBox 121">
          <a:extLst>
            <a:ext uri="{FF2B5EF4-FFF2-40B4-BE49-F238E27FC236}">
              <a16:creationId xmlns:a16="http://schemas.microsoft.com/office/drawing/2014/main" id="{E56BC050-2320-4CB1-8212-A70442DC7605}"/>
            </a:ext>
          </a:extLst>
        </xdr:cNvPr>
        <xdr:cNvSpPr txBox="1"/>
      </xdr:nvSpPr>
      <xdr:spPr>
        <a:xfrm>
          <a:off x="3848100" y="3911600"/>
          <a:ext cx="5762625" cy="451485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200" b="1" kern="0">
              <a:solidFill>
                <a:srgbClr val="532963"/>
              </a:solidFill>
              <a:latin typeface="Arial" pitchFamily="34" charset="0"/>
              <a:cs typeface="Arial" pitchFamily="34" charset="0"/>
            </a:rPr>
            <a:t>PLAN</a:t>
          </a:r>
          <a:endParaRPr lang="en-US" sz="5200" b="1" kern="0" baseline="0">
            <a:solidFill>
              <a:srgbClr val="532963"/>
            </a:solidFill>
            <a:latin typeface="Arial" pitchFamily="34" charset="0"/>
            <a:cs typeface="Arial" pitchFamily="34" charset="0"/>
          </a:endParaRPr>
        </a:p>
        <a:p>
          <a:pPr algn="ctr"/>
          <a:r>
            <a:rPr lang="en-US" sz="5200" b="1" kern="0" baseline="0">
              <a:solidFill>
                <a:srgbClr val="532963"/>
              </a:solidFill>
              <a:latin typeface="Arial" pitchFamily="34" charset="0"/>
              <a:cs typeface="Arial" pitchFamily="34" charset="0"/>
            </a:rPr>
            <a:t>INTEGRADO DE ACCIÓN ANUAL</a:t>
          </a:r>
        </a:p>
        <a:p>
          <a:pPr algn="ctr"/>
          <a:endParaRPr lang="en-US" sz="5200" b="1" kern="0" baseline="0">
            <a:solidFill>
              <a:srgbClr val="532963"/>
            </a:solidFill>
            <a:latin typeface="Arial" pitchFamily="34" charset="0"/>
            <a:cs typeface="Arial" pitchFamily="34" charset="0"/>
          </a:endParaRP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rgbClr val="E63992"/>
            </a:solidFill>
            <a:latin typeface="Arial" pitchFamily="34" charset="0"/>
            <a:cs typeface="Arial" pitchFamily="34" charset="0"/>
          </a:endParaRPr>
        </a:p>
        <a:p>
          <a:pPr algn="ctr"/>
          <a:endParaRPr lang="en-US" sz="5200" b="1" kern="0" baseline="0">
            <a:solidFill>
              <a:srgbClr val="E63992"/>
            </a:solidFill>
            <a:latin typeface="Arial" pitchFamily="34" charset="0"/>
            <a:cs typeface="Arial" pitchFamily="34" charset="0"/>
          </a:endParaRPr>
        </a:p>
        <a:p>
          <a:pPr algn="ctr"/>
          <a:r>
            <a:rPr lang="en-US" sz="5200" b="1" kern="0" baseline="0">
              <a:solidFill>
                <a:srgbClr val="E63992"/>
              </a:solidFill>
              <a:latin typeface="Arial" pitchFamily="34" charset="0"/>
              <a:cs typeface="Arial" pitchFamily="34" charset="0"/>
            </a:rPr>
            <a:t>2024</a:t>
          </a:r>
          <a:endParaRPr lang="en-US" sz="5200" b="1" kern="0">
            <a:solidFill>
              <a:srgbClr val="E63992"/>
            </a:solidFill>
            <a:latin typeface="Arial" pitchFamily="34" charset="0"/>
            <a:cs typeface="Arial" pitchFamily="34" charset="0"/>
          </a:endParaRPr>
        </a:p>
      </xdr:txBody>
    </xdr:sp>
    <xdr:clientData/>
  </xdr:twoCellAnchor>
  <xdr:twoCellAnchor>
    <xdr:from>
      <xdr:col>9</xdr:col>
      <xdr:colOff>416976</xdr:colOff>
      <xdr:row>7</xdr:row>
      <xdr:rowOff>138475</xdr:rowOff>
    </xdr:from>
    <xdr:to>
      <xdr:col>12</xdr:col>
      <xdr:colOff>413071</xdr:colOff>
      <xdr:row>20</xdr:row>
      <xdr:rowOff>75754</xdr:rowOff>
    </xdr:to>
    <xdr:sp macro="" textlink="">
      <xdr:nvSpPr>
        <xdr:cNvPr id="4" name="Lágrima 3">
          <a:extLst>
            <a:ext uri="{FF2B5EF4-FFF2-40B4-BE49-F238E27FC236}">
              <a16:creationId xmlns:a16="http://schemas.microsoft.com/office/drawing/2014/main" id="{7A1787D2-DDBA-47A4-8BB7-5B191D78D582}"/>
            </a:ext>
          </a:extLst>
        </xdr:cNvPr>
        <xdr:cNvSpPr/>
      </xdr:nvSpPr>
      <xdr:spPr>
        <a:xfrm rot="20924410">
          <a:off x="7992526" y="1300525"/>
          <a:ext cx="2453545" cy="2413779"/>
        </a:xfrm>
        <a:prstGeom prst="teardrop">
          <a:avLst/>
        </a:prstGeom>
        <a:solidFill>
          <a:srgbClr val="95E069"/>
        </a:solidFill>
        <a:ln>
          <a:solidFill>
            <a:srgbClr val="95E06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10</xdr:col>
      <xdr:colOff>324949</xdr:colOff>
      <xdr:row>51</xdr:row>
      <xdr:rowOff>163507</xdr:rowOff>
    </xdr:from>
    <xdr:to>
      <xdr:col>13</xdr:col>
      <xdr:colOff>410395</xdr:colOff>
      <xdr:row>65</xdr:row>
      <xdr:rowOff>75447</xdr:rowOff>
    </xdr:to>
    <xdr:sp macro="" textlink="">
      <xdr:nvSpPr>
        <xdr:cNvPr id="5" name="Lágrima 137">
          <a:extLst>
            <a:ext uri="{FF2B5EF4-FFF2-40B4-BE49-F238E27FC236}">
              <a16:creationId xmlns:a16="http://schemas.microsoft.com/office/drawing/2014/main" id="{403636EA-5786-4252-A282-99B7388AF9A7}"/>
            </a:ext>
          </a:extLst>
        </xdr:cNvPr>
        <xdr:cNvSpPr/>
      </xdr:nvSpPr>
      <xdr:spPr>
        <a:xfrm rot="5888503">
          <a:off x="8838152" y="9392204"/>
          <a:ext cx="2305890" cy="2542896"/>
        </a:xfrm>
        <a:prstGeom prst="teardrop">
          <a:avLst/>
        </a:prstGeom>
        <a:solidFill>
          <a:srgbClr val="9B4CBA"/>
        </a:solidFill>
        <a:ln>
          <a:solidFill>
            <a:srgbClr val="9B4CB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2</xdr:col>
      <xdr:colOff>127038</xdr:colOff>
      <xdr:row>52</xdr:row>
      <xdr:rowOff>116970</xdr:rowOff>
    </xdr:from>
    <xdr:to>
      <xdr:col>5</xdr:col>
      <xdr:colOff>99470</xdr:colOff>
      <xdr:row>66</xdr:row>
      <xdr:rowOff>138916</xdr:rowOff>
    </xdr:to>
    <xdr:sp macro="" textlink="">
      <xdr:nvSpPr>
        <xdr:cNvPr id="6" name="Lágrima 5">
          <a:extLst>
            <a:ext uri="{FF2B5EF4-FFF2-40B4-BE49-F238E27FC236}">
              <a16:creationId xmlns:a16="http://schemas.microsoft.com/office/drawing/2014/main" id="{A70AD18A-69F1-4A4D-B148-814B35FCF433}"/>
            </a:ext>
          </a:extLst>
        </xdr:cNvPr>
        <xdr:cNvSpPr/>
      </xdr:nvSpPr>
      <xdr:spPr>
        <a:xfrm rot="10073442">
          <a:off x="1968538" y="9648320"/>
          <a:ext cx="2429882" cy="2415896"/>
        </a:xfrm>
        <a:prstGeom prst="teardrop">
          <a:avLst/>
        </a:prstGeom>
        <a:solidFill>
          <a:srgbClr val="95E069"/>
        </a:solidFill>
        <a:ln>
          <a:solidFill>
            <a:srgbClr val="95E06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165020</xdr:colOff>
      <xdr:row>16</xdr:row>
      <xdr:rowOff>620</xdr:rowOff>
    </xdr:from>
    <xdr:to>
      <xdr:col>4</xdr:col>
      <xdr:colOff>250466</xdr:colOff>
      <xdr:row>28</xdr:row>
      <xdr:rowOff>24743</xdr:rowOff>
    </xdr:to>
    <xdr:sp macro="" textlink="">
      <xdr:nvSpPr>
        <xdr:cNvPr id="7" name="Lágrima 6">
          <a:extLst>
            <a:ext uri="{FF2B5EF4-FFF2-40B4-BE49-F238E27FC236}">
              <a16:creationId xmlns:a16="http://schemas.microsoft.com/office/drawing/2014/main" id="{BA7656C8-C53B-4CB3-9185-C39B7CE2762B}"/>
            </a:ext>
          </a:extLst>
        </xdr:cNvPr>
        <xdr:cNvSpPr/>
      </xdr:nvSpPr>
      <xdr:spPr>
        <a:xfrm rot="16200000">
          <a:off x="1300581" y="2706809"/>
          <a:ext cx="2316473" cy="2542896"/>
        </a:xfrm>
        <a:prstGeom prst="teardrop">
          <a:avLst/>
        </a:prstGeom>
        <a:solidFill>
          <a:srgbClr val="C3FF9C"/>
        </a:solidFill>
        <a:ln>
          <a:solidFill>
            <a:srgbClr val="C3FF9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0</xdr:col>
      <xdr:colOff>543963</xdr:colOff>
      <xdr:row>27</xdr:row>
      <xdr:rowOff>171446</xdr:rowOff>
    </xdr:from>
    <xdr:to>
      <xdr:col>3</xdr:col>
      <xdr:colOff>532103</xdr:colOff>
      <xdr:row>41</xdr:row>
      <xdr:rowOff>13976</xdr:rowOff>
    </xdr:to>
    <xdr:sp macro="" textlink="">
      <xdr:nvSpPr>
        <xdr:cNvPr id="8" name="Lágrima 7">
          <a:extLst>
            <a:ext uri="{FF2B5EF4-FFF2-40B4-BE49-F238E27FC236}">
              <a16:creationId xmlns:a16="http://schemas.microsoft.com/office/drawing/2014/main" id="{75980F66-DC96-417C-9C74-11D45C533633}"/>
            </a:ext>
          </a:extLst>
        </xdr:cNvPr>
        <xdr:cNvSpPr/>
      </xdr:nvSpPr>
      <xdr:spPr>
        <a:xfrm rot="13197227">
          <a:off x="543963" y="5099046"/>
          <a:ext cx="2648790" cy="2420630"/>
        </a:xfrm>
        <a:prstGeom prst="teardrop">
          <a:avLst/>
        </a:prstGeom>
        <a:solidFill>
          <a:srgbClr val="9B4CBA"/>
        </a:solidFill>
        <a:ln>
          <a:solidFill>
            <a:srgbClr val="9B4CB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661142</xdr:colOff>
      <xdr:row>16</xdr:row>
      <xdr:rowOff>35979</xdr:rowOff>
    </xdr:from>
    <xdr:to>
      <xdr:col>14</xdr:col>
      <xdr:colOff>634999</xdr:colOff>
      <xdr:row>28</xdr:row>
      <xdr:rowOff>162979</xdr:rowOff>
    </xdr:to>
    <xdr:sp macro="" textlink="">
      <xdr:nvSpPr>
        <xdr:cNvPr id="9" name="Lágrima 141">
          <a:extLst>
            <a:ext uri="{FF2B5EF4-FFF2-40B4-BE49-F238E27FC236}">
              <a16:creationId xmlns:a16="http://schemas.microsoft.com/office/drawing/2014/main" id="{314DDC59-FB25-4D4C-94C6-6AA0073E4806}"/>
            </a:ext>
          </a:extLst>
        </xdr:cNvPr>
        <xdr:cNvSpPr/>
      </xdr:nvSpPr>
      <xdr:spPr>
        <a:xfrm>
          <a:off x="9874992" y="2855379"/>
          <a:ext cx="2431307" cy="2419350"/>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12</xdr:col>
      <xdr:colOff>263953</xdr:colOff>
      <xdr:row>28</xdr:row>
      <xdr:rowOff>59842</xdr:rowOff>
    </xdr:from>
    <xdr:to>
      <xdr:col>15</xdr:col>
      <xdr:colOff>349399</xdr:colOff>
      <xdr:row>40</xdr:row>
      <xdr:rowOff>141815</xdr:rowOff>
    </xdr:to>
    <xdr:sp macro="" textlink="">
      <xdr:nvSpPr>
        <xdr:cNvPr id="10" name="Lágrima 9">
          <a:extLst>
            <a:ext uri="{FF2B5EF4-FFF2-40B4-BE49-F238E27FC236}">
              <a16:creationId xmlns:a16="http://schemas.microsoft.com/office/drawing/2014/main" id="{82840699-2A29-49F4-B0B0-1B65E2A7289E}"/>
            </a:ext>
          </a:extLst>
        </xdr:cNvPr>
        <xdr:cNvSpPr/>
      </xdr:nvSpPr>
      <xdr:spPr>
        <a:xfrm rot="2716324">
          <a:off x="10422514" y="5046031"/>
          <a:ext cx="2291773" cy="254289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3</xdr:col>
      <xdr:colOff>522724</xdr:colOff>
      <xdr:row>8</xdr:row>
      <xdr:rowOff>102023</xdr:rowOff>
    </xdr:from>
    <xdr:to>
      <xdr:col>6</xdr:col>
      <xdr:colOff>608170</xdr:colOff>
      <xdr:row>20</xdr:row>
      <xdr:rowOff>119796</xdr:rowOff>
    </xdr:to>
    <xdr:sp macro="" textlink="">
      <xdr:nvSpPr>
        <xdr:cNvPr id="11" name="Lágrima 10">
          <a:extLst>
            <a:ext uri="{FF2B5EF4-FFF2-40B4-BE49-F238E27FC236}">
              <a16:creationId xmlns:a16="http://schemas.microsoft.com/office/drawing/2014/main" id="{27AE0473-BF7E-4B56-B11E-5B846B51D71C}"/>
            </a:ext>
          </a:extLst>
        </xdr:cNvPr>
        <xdr:cNvSpPr/>
      </xdr:nvSpPr>
      <xdr:spPr>
        <a:xfrm rot="17063044">
          <a:off x="3299760" y="1331837"/>
          <a:ext cx="2310123" cy="2542896"/>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454578</xdr:colOff>
      <xdr:row>40</xdr:row>
      <xdr:rowOff>34204</xdr:rowOff>
    </xdr:from>
    <xdr:to>
      <xdr:col>4</xdr:col>
      <xdr:colOff>416970</xdr:colOff>
      <xdr:row>53</xdr:row>
      <xdr:rowOff>56150</xdr:rowOff>
    </xdr:to>
    <xdr:sp macro="" textlink="">
      <xdr:nvSpPr>
        <xdr:cNvPr id="12" name="Lágrima 11">
          <a:extLst>
            <a:ext uri="{FF2B5EF4-FFF2-40B4-BE49-F238E27FC236}">
              <a16:creationId xmlns:a16="http://schemas.microsoft.com/office/drawing/2014/main" id="{57DE8C42-09A6-45C3-8945-2762EBCB31AD}"/>
            </a:ext>
          </a:extLst>
        </xdr:cNvPr>
        <xdr:cNvSpPr/>
      </xdr:nvSpPr>
      <xdr:spPr>
        <a:xfrm rot="11835076">
          <a:off x="1476928" y="7355754"/>
          <a:ext cx="2419842" cy="2415896"/>
        </a:xfrm>
        <a:prstGeom prst="teardrop">
          <a:avLst/>
        </a:prstGeom>
        <a:solidFill>
          <a:srgbClr val="E63992"/>
        </a:solidFill>
        <a:ln>
          <a:solidFill>
            <a:srgbClr val="E6399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544250</xdr:colOff>
      <xdr:row>40</xdr:row>
      <xdr:rowOff>86030</xdr:rowOff>
    </xdr:from>
    <xdr:to>
      <xdr:col>14</xdr:col>
      <xdr:colOff>629696</xdr:colOff>
      <xdr:row>53</xdr:row>
      <xdr:rowOff>4320</xdr:rowOff>
    </xdr:to>
    <xdr:sp macro="" textlink="">
      <xdr:nvSpPr>
        <xdr:cNvPr id="13" name="Lágrima 12">
          <a:extLst>
            <a:ext uri="{FF2B5EF4-FFF2-40B4-BE49-F238E27FC236}">
              <a16:creationId xmlns:a16="http://schemas.microsoft.com/office/drawing/2014/main" id="{65BC6DC8-F561-4E44-AA66-B5C1E609D56D}"/>
            </a:ext>
          </a:extLst>
        </xdr:cNvPr>
        <xdr:cNvSpPr/>
      </xdr:nvSpPr>
      <xdr:spPr>
        <a:xfrm rot="5400000">
          <a:off x="9873428" y="7292252"/>
          <a:ext cx="2312240" cy="254289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646536</xdr:colOff>
      <xdr:row>57</xdr:row>
      <xdr:rowOff>71847</xdr:rowOff>
    </xdr:from>
    <xdr:to>
      <xdr:col>10</xdr:col>
      <xdr:colOff>731982</xdr:colOff>
      <xdr:row>70</xdr:row>
      <xdr:rowOff>8939</xdr:rowOff>
    </xdr:to>
    <xdr:sp macro="" textlink="">
      <xdr:nvSpPr>
        <xdr:cNvPr id="14" name="Lágrima 13">
          <a:extLst>
            <a:ext uri="{FF2B5EF4-FFF2-40B4-BE49-F238E27FC236}">
              <a16:creationId xmlns:a16="http://schemas.microsoft.com/office/drawing/2014/main" id="{64BFE0DD-8886-428E-924C-228614BAAFCC}"/>
            </a:ext>
          </a:extLst>
        </xdr:cNvPr>
        <xdr:cNvSpPr/>
      </xdr:nvSpPr>
      <xdr:spPr>
        <a:xfrm rot="7274512">
          <a:off x="6689713" y="10233870"/>
          <a:ext cx="2331042" cy="2542896"/>
        </a:xfrm>
        <a:prstGeom prst="teardrop">
          <a:avLst/>
        </a:prstGeom>
        <a:solidFill>
          <a:srgbClr val="C3FF9C"/>
        </a:solidFill>
        <a:ln>
          <a:solidFill>
            <a:srgbClr val="C3FF9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216996</xdr:colOff>
      <xdr:row>10</xdr:row>
      <xdr:rowOff>114300</xdr:rowOff>
    </xdr:from>
    <xdr:to>
      <xdr:col>8</xdr:col>
      <xdr:colOff>678038</xdr:colOff>
      <xdr:row>14</xdr:row>
      <xdr:rowOff>42542</xdr:rowOff>
    </xdr:to>
    <xdr:sp macro="" textlink="">
      <xdr:nvSpPr>
        <xdr:cNvPr id="15" name="TextBox 121">
          <a:hlinkClick xmlns:r="http://schemas.openxmlformats.org/officeDocument/2006/relationships" r:id="rId1"/>
          <a:extLst>
            <a:ext uri="{FF2B5EF4-FFF2-40B4-BE49-F238E27FC236}">
              <a16:creationId xmlns:a16="http://schemas.microsoft.com/office/drawing/2014/main" id="{E68EB78F-5484-46DD-9A12-82441CC516E0}"/>
            </a:ext>
          </a:extLst>
        </xdr:cNvPr>
        <xdr:cNvSpPr txBox="1"/>
      </xdr:nvSpPr>
      <xdr:spPr bwMode="auto">
        <a:xfrm>
          <a:off x="6154246" y="1828800"/>
          <a:ext cx="1280192"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Acción Anual</a:t>
          </a:r>
        </a:p>
      </xdr:txBody>
    </xdr:sp>
    <xdr:clientData/>
  </xdr:twoCellAnchor>
  <xdr:twoCellAnchor>
    <xdr:from>
      <xdr:col>7</xdr:col>
      <xdr:colOff>370808</xdr:colOff>
      <xdr:row>10</xdr:row>
      <xdr:rowOff>38100</xdr:rowOff>
    </xdr:from>
    <xdr:to>
      <xdr:col>8</xdr:col>
      <xdr:colOff>515682</xdr:colOff>
      <xdr:row>10</xdr:row>
      <xdr:rowOff>38100</xdr:rowOff>
    </xdr:to>
    <xdr:cxnSp macro="">
      <xdr:nvCxnSpPr>
        <xdr:cNvPr id="16" name="Straight Connector 72">
          <a:extLst>
            <a:ext uri="{FF2B5EF4-FFF2-40B4-BE49-F238E27FC236}">
              <a16:creationId xmlns:a16="http://schemas.microsoft.com/office/drawing/2014/main" id="{3E725000-B588-4A2A-9E94-3F8E85D0F51D}"/>
            </a:ext>
          </a:extLst>
        </xdr:cNvPr>
        <xdr:cNvCxnSpPr/>
      </xdr:nvCxnSpPr>
      <xdr:spPr bwMode="auto">
        <a:xfrm>
          <a:off x="6308058" y="17526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465352</xdr:colOff>
      <xdr:row>6</xdr:row>
      <xdr:rowOff>40214</xdr:rowOff>
    </xdr:from>
    <xdr:to>
      <xdr:col>8</xdr:col>
      <xdr:colOff>533399</xdr:colOff>
      <xdr:row>8</xdr:row>
      <xdr:rowOff>165100</xdr:rowOff>
    </xdr:to>
    <xdr:sp macro="" textlink="">
      <xdr:nvSpPr>
        <xdr:cNvPr id="17" name="TextBox 70">
          <a:extLst>
            <a:ext uri="{FF2B5EF4-FFF2-40B4-BE49-F238E27FC236}">
              <a16:creationId xmlns:a16="http://schemas.microsoft.com/office/drawing/2014/main" id="{58724921-266C-45AE-A203-C609542248A2}"/>
            </a:ext>
          </a:extLst>
        </xdr:cNvPr>
        <xdr:cNvSpPr txBox="1"/>
      </xdr:nvSpPr>
      <xdr:spPr bwMode="auto">
        <a:xfrm>
          <a:off x="6402602" y="101811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01</a:t>
          </a:r>
        </a:p>
      </xdr:txBody>
    </xdr:sp>
    <xdr:clientData/>
  </xdr:twoCellAnchor>
  <xdr:twoCellAnchor>
    <xdr:from>
      <xdr:col>9</xdr:col>
      <xdr:colOff>795994</xdr:colOff>
      <xdr:row>13</xdr:row>
      <xdr:rowOff>30602</xdr:rowOff>
    </xdr:from>
    <xdr:to>
      <xdr:col>12</xdr:col>
      <xdr:colOff>241300</xdr:colOff>
      <xdr:row>16</xdr:row>
      <xdr:rowOff>149344</xdr:rowOff>
    </xdr:to>
    <xdr:sp macro="" textlink="">
      <xdr:nvSpPr>
        <xdr:cNvPr id="18" name="TextBox 121">
          <a:hlinkClick xmlns:r="http://schemas.openxmlformats.org/officeDocument/2006/relationships" r:id="rId2"/>
          <a:extLst>
            <a:ext uri="{FF2B5EF4-FFF2-40B4-BE49-F238E27FC236}">
              <a16:creationId xmlns:a16="http://schemas.microsoft.com/office/drawing/2014/main" id="{637D9FFE-A9EC-4158-8FCE-21E843A66A54}"/>
            </a:ext>
          </a:extLst>
        </xdr:cNvPr>
        <xdr:cNvSpPr txBox="1"/>
      </xdr:nvSpPr>
      <xdr:spPr bwMode="auto">
        <a:xfrm>
          <a:off x="8371544" y="2297552"/>
          <a:ext cx="1902756" cy="67119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a:t>
          </a:r>
          <a:r>
            <a:rPr lang="en-US" sz="2000" b="1" kern="0" baseline="0">
              <a:solidFill>
                <a:schemeClr val="bg1"/>
              </a:solidFill>
              <a:latin typeface="Arial" pitchFamily="34" charset="0"/>
              <a:cs typeface="Arial" pitchFamily="34" charset="0"/>
            </a:rPr>
            <a:t> Institucional de Archivos</a:t>
          </a:r>
          <a:endParaRPr lang="en-US" sz="2000" b="1" kern="0">
            <a:solidFill>
              <a:schemeClr val="bg1"/>
            </a:solidFill>
            <a:latin typeface="Arial" pitchFamily="34" charset="0"/>
            <a:cs typeface="Arial" pitchFamily="34" charset="0"/>
          </a:endParaRPr>
        </a:p>
      </xdr:txBody>
    </xdr:sp>
    <xdr:clientData/>
  </xdr:twoCellAnchor>
  <xdr:twoCellAnchor>
    <xdr:from>
      <xdr:col>4</xdr:col>
      <xdr:colOff>28752</xdr:colOff>
      <xdr:row>12</xdr:row>
      <xdr:rowOff>128607</xdr:rowOff>
    </xdr:from>
    <xdr:to>
      <xdr:col>6</xdr:col>
      <xdr:colOff>301625</xdr:colOff>
      <xdr:row>16</xdr:row>
      <xdr:rowOff>63734</xdr:rowOff>
    </xdr:to>
    <xdr:sp macro="" textlink="">
      <xdr:nvSpPr>
        <xdr:cNvPr id="19" name="TextBox 121">
          <a:hlinkClick xmlns:r="http://schemas.openxmlformats.org/officeDocument/2006/relationships" r:id="rId3"/>
          <a:extLst>
            <a:ext uri="{FF2B5EF4-FFF2-40B4-BE49-F238E27FC236}">
              <a16:creationId xmlns:a16="http://schemas.microsoft.com/office/drawing/2014/main" id="{9CE6D2AF-A7AB-40F9-A5C5-0AE8F2A75B7D}"/>
            </a:ext>
          </a:extLst>
        </xdr:cNvPr>
        <xdr:cNvSpPr txBox="1"/>
      </xdr:nvSpPr>
      <xdr:spPr bwMode="auto">
        <a:xfrm>
          <a:off x="3508552" y="2211407"/>
          <a:ext cx="1911173" cy="67172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Seguridad y Privacidad de la Información </a:t>
          </a:r>
        </a:p>
      </xdr:txBody>
    </xdr:sp>
    <xdr:clientData/>
  </xdr:twoCellAnchor>
  <xdr:twoCellAnchor>
    <xdr:from>
      <xdr:col>1</xdr:col>
      <xdr:colOff>269938</xdr:colOff>
      <xdr:row>18</xdr:row>
      <xdr:rowOff>130481</xdr:rowOff>
    </xdr:from>
    <xdr:to>
      <xdr:col>4</xdr:col>
      <xdr:colOff>142875</xdr:colOff>
      <xdr:row>22</xdr:row>
      <xdr:rowOff>58723</xdr:rowOff>
    </xdr:to>
    <xdr:sp macro="" textlink="">
      <xdr:nvSpPr>
        <xdr:cNvPr id="20" name="TextBox 121">
          <a:hlinkClick xmlns:r="http://schemas.openxmlformats.org/officeDocument/2006/relationships" r:id="rId4"/>
          <a:extLst>
            <a:ext uri="{FF2B5EF4-FFF2-40B4-BE49-F238E27FC236}">
              <a16:creationId xmlns:a16="http://schemas.microsoft.com/office/drawing/2014/main" id="{AD4A29B9-1BA8-4C1D-8BFD-766B291AB773}"/>
            </a:ext>
          </a:extLst>
        </xdr:cNvPr>
        <xdr:cNvSpPr txBox="1"/>
      </xdr:nvSpPr>
      <xdr:spPr bwMode="auto">
        <a:xfrm>
          <a:off x="1292288" y="3400731"/>
          <a:ext cx="233038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Tratamiento de Riesgos de Seguridad y Privacidad de la Información</a:t>
          </a:r>
        </a:p>
      </xdr:txBody>
    </xdr:sp>
    <xdr:clientData/>
  </xdr:twoCellAnchor>
  <xdr:twoCellAnchor>
    <xdr:from>
      <xdr:col>1</xdr:col>
      <xdr:colOff>15479</xdr:colOff>
      <xdr:row>33</xdr:row>
      <xdr:rowOff>68397</xdr:rowOff>
    </xdr:from>
    <xdr:to>
      <xdr:col>3</xdr:col>
      <xdr:colOff>145361</xdr:colOff>
      <xdr:row>36</xdr:row>
      <xdr:rowOff>180253</xdr:rowOff>
    </xdr:to>
    <xdr:sp macro="" textlink="">
      <xdr:nvSpPr>
        <xdr:cNvPr id="21" name="TextBox 121">
          <a:hlinkClick xmlns:r="http://schemas.openxmlformats.org/officeDocument/2006/relationships" r:id="rId5"/>
          <a:extLst>
            <a:ext uri="{FF2B5EF4-FFF2-40B4-BE49-F238E27FC236}">
              <a16:creationId xmlns:a16="http://schemas.microsoft.com/office/drawing/2014/main" id="{01E1037A-EB04-44AB-8D9C-35F0AA20848E}"/>
            </a:ext>
          </a:extLst>
        </xdr:cNvPr>
        <xdr:cNvSpPr txBox="1"/>
      </xdr:nvSpPr>
      <xdr:spPr bwMode="auto">
        <a:xfrm>
          <a:off x="1037829" y="6100897"/>
          <a:ext cx="1768182"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a:t>
          </a:r>
          <a:r>
            <a:rPr lang="en-US" sz="2000" b="1" kern="0" baseline="0">
              <a:solidFill>
                <a:schemeClr val="bg1"/>
              </a:solidFill>
              <a:latin typeface="Arial" pitchFamily="34" charset="0"/>
              <a:cs typeface="Arial" pitchFamily="34" charset="0"/>
            </a:rPr>
            <a:t> de TIC</a:t>
          </a:r>
          <a:endParaRPr lang="en-US" sz="2000" b="1" kern="0">
            <a:solidFill>
              <a:schemeClr val="bg1"/>
            </a:solidFill>
            <a:latin typeface="Arial" pitchFamily="34" charset="0"/>
            <a:cs typeface="Arial" pitchFamily="34" charset="0"/>
          </a:endParaRPr>
        </a:p>
      </xdr:txBody>
    </xdr:sp>
    <xdr:clientData/>
  </xdr:twoCellAnchor>
  <xdr:twoCellAnchor>
    <xdr:from>
      <xdr:col>1</xdr:col>
      <xdr:colOff>293809</xdr:colOff>
      <xdr:row>45</xdr:row>
      <xdr:rowOff>80943</xdr:rowOff>
    </xdr:from>
    <xdr:to>
      <xdr:col>4</xdr:col>
      <xdr:colOff>382530</xdr:colOff>
      <xdr:row>49</xdr:row>
      <xdr:rowOff>9185</xdr:rowOff>
    </xdr:to>
    <xdr:sp macro="" textlink="">
      <xdr:nvSpPr>
        <xdr:cNvPr id="22" name="TextBox 121">
          <a:hlinkClick xmlns:r="http://schemas.openxmlformats.org/officeDocument/2006/relationships" r:id="rId6"/>
          <a:extLst>
            <a:ext uri="{FF2B5EF4-FFF2-40B4-BE49-F238E27FC236}">
              <a16:creationId xmlns:a16="http://schemas.microsoft.com/office/drawing/2014/main" id="{AAB8107C-A6EC-4E50-B760-A7AF0E562560}"/>
            </a:ext>
          </a:extLst>
        </xdr:cNvPr>
        <xdr:cNvSpPr txBox="1"/>
      </xdr:nvSpPr>
      <xdr:spPr bwMode="auto">
        <a:xfrm>
          <a:off x="1316159" y="8323243"/>
          <a:ext cx="2546171"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Anticorrupción</a:t>
          </a:r>
          <a:r>
            <a:rPr lang="en-US" sz="2000" b="1" kern="0" baseline="0">
              <a:solidFill>
                <a:schemeClr val="bg1"/>
              </a:solidFill>
              <a:latin typeface="Arial" pitchFamily="34" charset="0"/>
              <a:cs typeface="Arial" pitchFamily="34" charset="0"/>
            </a:rPr>
            <a:t> y de Atención al Ciudadano</a:t>
          </a:r>
          <a:endParaRPr lang="en-US" sz="2000" b="1" kern="0">
            <a:solidFill>
              <a:schemeClr val="bg1"/>
            </a:solidFill>
            <a:latin typeface="Arial" pitchFamily="34" charset="0"/>
            <a:cs typeface="Arial" pitchFamily="34" charset="0"/>
          </a:endParaRPr>
        </a:p>
      </xdr:txBody>
    </xdr:sp>
    <xdr:clientData/>
  </xdr:twoCellAnchor>
  <xdr:twoCellAnchor>
    <xdr:from>
      <xdr:col>2</xdr:col>
      <xdr:colOff>53222</xdr:colOff>
      <xdr:row>58</xdr:row>
      <xdr:rowOff>60898</xdr:rowOff>
    </xdr:from>
    <xdr:to>
      <xdr:col>5</xdr:col>
      <xdr:colOff>137711</xdr:colOff>
      <xdr:row>61</xdr:row>
      <xdr:rowOff>172754</xdr:rowOff>
    </xdr:to>
    <xdr:sp macro="" textlink="">
      <xdr:nvSpPr>
        <xdr:cNvPr id="23" name="TextBox 121">
          <a:hlinkClick xmlns:r="http://schemas.openxmlformats.org/officeDocument/2006/relationships" r:id="rId7"/>
          <a:extLst>
            <a:ext uri="{FF2B5EF4-FFF2-40B4-BE49-F238E27FC236}">
              <a16:creationId xmlns:a16="http://schemas.microsoft.com/office/drawing/2014/main" id="{EF4F9488-7B11-4DDD-B2F6-A3718AEE804C}"/>
            </a:ext>
          </a:extLst>
        </xdr:cNvPr>
        <xdr:cNvSpPr txBox="1"/>
      </xdr:nvSpPr>
      <xdr:spPr bwMode="auto">
        <a:xfrm>
          <a:off x="1894722" y="10512998"/>
          <a:ext cx="2541939"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Trabajo Anual en Seguridad y Salud en el Trabajo</a:t>
          </a:r>
        </a:p>
      </xdr:txBody>
    </xdr:sp>
    <xdr:clientData/>
  </xdr:twoCellAnchor>
  <xdr:twoCellAnchor>
    <xdr:from>
      <xdr:col>8</xdr:col>
      <xdr:colOff>97239</xdr:colOff>
      <xdr:row>63</xdr:row>
      <xdr:rowOff>69366</xdr:rowOff>
    </xdr:from>
    <xdr:to>
      <xdr:col>10</xdr:col>
      <xdr:colOff>596746</xdr:colOff>
      <xdr:row>66</xdr:row>
      <xdr:rowOff>181223</xdr:rowOff>
    </xdr:to>
    <xdr:sp macro="" textlink="">
      <xdr:nvSpPr>
        <xdr:cNvPr id="24" name="TextBox 121">
          <a:hlinkClick xmlns:r="http://schemas.openxmlformats.org/officeDocument/2006/relationships" r:id="rId8"/>
          <a:extLst>
            <a:ext uri="{FF2B5EF4-FFF2-40B4-BE49-F238E27FC236}">
              <a16:creationId xmlns:a16="http://schemas.microsoft.com/office/drawing/2014/main" id="{5E16E15C-6990-4C8C-8F02-AF786345615C}"/>
            </a:ext>
          </a:extLst>
        </xdr:cNvPr>
        <xdr:cNvSpPr txBox="1"/>
      </xdr:nvSpPr>
      <xdr:spPr bwMode="auto">
        <a:xfrm>
          <a:off x="6853639" y="11442216"/>
          <a:ext cx="2137807" cy="66430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Institucional de Capacitación</a:t>
          </a:r>
        </a:p>
      </xdr:txBody>
    </xdr:sp>
    <xdr:clientData/>
  </xdr:twoCellAnchor>
  <xdr:twoCellAnchor>
    <xdr:from>
      <xdr:col>10</xdr:col>
      <xdr:colOff>653539</xdr:colOff>
      <xdr:row>57</xdr:row>
      <xdr:rowOff>122411</xdr:rowOff>
    </xdr:from>
    <xdr:to>
      <xdr:col>13</xdr:col>
      <xdr:colOff>84157</xdr:colOff>
      <xdr:row>61</xdr:row>
      <xdr:rowOff>57539</xdr:rowOff>
    </xdr:to>
    <xdr:sp macro="" textlink="">
      <xdr:nvSpPr>
        <xdr:cNvPr id="25" name="TextBox 121">
          <a:hlinkClick xmlns:r="http://schemas.openxmlformats.org/officeDocument/2006/relationships" r:id="rId9"/>
          <a:extLst>
            <a:ext uri="{FF2B5EF4-FFF2-40B4-BE49-F238E27FC236}">
              <a16:creationId xmlns:a16="http://schemas.microsoft.com/office/drawing/2014/main" id="{140C6068-69C2-4145-83CD-7B23F35DD5CE}"/>
            </a:ext>
          </a:extLst>
        </xdr:cNvPr>
        <xdr:cNvSpPr txBox="1"/>
      </xdr:nvSpPr>
      <xdr:spPr bwMode="auto">
        <a:xfrm>
          <a:off x="9048239" y="10390361"/>
          <a:ext cx="1888068"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 de Talento</a:t>
          </a:r>
          <a:r>
            <a:rPr lang="en-US" sz="2000" b="1" kern="0" baseline="0">
              <a:solidFill>
                <a:schemeClr val="bg1"/>
              </a:solidFill>
              <a:latin typeface="Arial" pitchFamily="34" charset="0"/>
              <a:cs typeface="Arial" pitchFamily="34" charset="0"/>
            </a:rPr>
            <a:t> Humano</a:t>
          </a:r>
          <a:endParaRPr lang="en-US" sz="2000" b="1" kern="0">
            <a:solidFill>
              <a:schemeClr val="bg1"/>
            </a:solidFill>
            <a:latin typeface="Arial" pitchFamily="34" charset="0"/>
            <a:cs typeface="Arial" pitchFamily="34" charset="0"/>
          </a:endParaRPr>
        </a:p>
      </xdr:txBody>
    </xdr:sp>
    <xdr:clientData/>
  </xdr:twoCellAnchor>
  <xdr:twoCellAnchor>
    <xdr:from>
      <xdr:col>11</xdr:col>
      <xdr:colOff>657364</xdr:colOff>
      <xdr:row>45</xdr:row>
      <xdr:rowOff>183155</xdr:rowOff>
    </xdr:from>
    <xdr:to>
      <xdr:col>14</xdr:col>
      <xdr:colOff>657951</xdr:colOff>
      <xdr:row>49</xdr:row>
      <xdr:rowOff>111397</xdr:rowOff>
    </xdr:to>
    <xdr:sp macro="" textlink="">
      <xdr:nvSpPr>
        <xdr:cNvPr id="26" name="TextBox 121">
          <a:extLst>
            <a:ext uri="{FF2B5EF4-FFF2-40B4-BE49-F238E27FC236}">
              <a16:creationId xmlns:a16="http://schemas.microsoft.com/office/drawing/2014/main" id="{6CFA826D-2C01-4D4F-BF43-A2FC57F52AC2}"/>
            </a:ext>
          </a:extLst>
        </xdr:cNvPr>
        <xdr:cNvSpPr txBox="1"/>
      </xdr:nvSpPr>
      <xdr:spPr bwMode="auto">
        <a:xfrm>
          <a:off x="9871214" y="8425455"/>
          <a:ext cx="245803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Previsión de Recursos Humanos</a:t>
          </a:r>
        </a:p>
      </xdr:txBody>
    </xdr:sp>
    <xdr:clientData/>
  </xdr:twoCellAnchor>
  <xdr:twoCellAnchor>
    <xdr:from>
      <xdr:col>12</xdr:col>
      <xdr:colOff>704493</xdr:colOff>
      <xdr:row>33</xdr:row>
      <xdr:rowOff>94103</xdr:rowOff>
    </xdr:from>
    <xdr:to>
      <xdr:col>15</xdr:col>
      <xdr:colOff>30603</xdr:colOff>
      <xdr:row>37</xdr:row>
      <xdr:rowOff>29231</xdr:rowOff>
    </xdr:to>
    <xdr:sp macro="" textlink="">
      <xdr:nvSpPr>
        <xdr:cNvPr id="27" name="TextBox 121">
          <a:extLst>
            <a:ext uri="{FF2B5EF4-FFF2-40B4-BE49-F238E27FC236}">
              <a16:creationId xmlns:a16="http://schemas.microsoft.com/office/drawing/2014/main" id="{61F3F67D-A8C1-4829-8E66-02F8A0F3C319}"/>
            </a:ext>
          </a:extLst>
        </xdr:cNvPr>
        <xdr:cNvSpPr txBox="1"/>
      </xdr:nvSpPr>
      <xdr:spPr bwMode="auto">
        <a:xfrm>
          <a:off x="10737493" y="6126603"/>
          <a:ext cx="1783560"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 de Vacantes</a:t>
          </a:r>
        </a:p>
      </xdr:txBody>
    </xdr:sp>
    <xdr:clientData/>
  </xdr:twoCellAnchor>
  <xdr:twoCellAnchor>
    <xdr:from>
      <xdr:col>12</xdr:col>
      <xdr:colOff>111418</xdr:colOff>
      <xdr:row>20</xdr:row>
      <xdr:rowOff>139700</xdr:rowOff>
    </xdr:from>
    <xdr:to>
      <xdr:col>14</xdr:col>
      <xdr:colOff>451385</xdr:colOff>
      <xdr:row>24</xdr:row>
      <xdr:rowOff>67942</xdr:rowOff>
    </xdr:to>
    <xdr:sp macro="" textlink="">
      <xdr:nvSpPr>
        <xdr:cNvPr id="28" name="TextBox 121">
          <a:hlinkClick xmlns:r="http://schemas.openxmlformats.org/officeDocument/2006/relationships" r:id="rId10"/>
          <a:extLst>
            <a:ext uri="{FF2B5EF4-FFF2-40B4-BE49-F238E27FC236}">
              <a16:creationId xmlns:a16="http://schemas.microsoft.com/office/drawing/2014/main" id="{07572ABE-ED3F-459C-B07A-3C0406FA9C85}"/>
            </a:ext>
          </a:extLst>
        </xdr:cNvPr>
        <xdr:cNvSpPr txBox="1"/>
      </xdr:nvSpPr>
      <xdr:spPr bwMode="auto">
        <a:xfrm>
          <a:off x="10144418" y="3778250"/>
          <a:ext cx="197826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a:t>
          </a:r>
          <a:r>
            <a:rPr lang="en-US" sz="2000" b="1" kern="0" baseline="0">
              <a:solidFill>
                <a:schemeClr val="bg1"/>
              </a:solidFill>
              <a:latin typeface="Arial" pitchFamily="34" charset="0"/>
              <a:cs typeface="Arial" pitchFamily="34" charset="0"/>
            </a:rPr>
            <a:t> de Adquisiciones</a:t>
          </a:r>
          <a:endParaRPr lang="en-US" sz="2000" b="1" kern="0">
            <a:solidFill>
              <a:schemeClr val="bg1"/>
            </a:solidFill>
            <a:latin typeface="Arial" pitchFamily="34" charset="0"/>
            <a:cs typeface="Arial" pitchFamily="34" charset="0"/>
          </a:endParaRPr>
        </a:p>
      </xdr:txBody>
    </xdr:sp>
    <xdr:clientData/>
  </xdr:twoCellAnchor>
  <xdr:twoCellAnchor>
    <xdr:from>
      <xdr:col>10</xdr:col>
      <xdr:colOff>320008</xdr:colOff>
      <xdr:row>12</xdr:row>
      <xdr:rowOff>127000</xdr:rowOff>
    </xdr:from>
    <xdr:to>
      <xdr:col>11</xdr:col>
      <xdr:colOff>464882</xdr:colOff>
      <xdr:row>12</xdr:row>
      <xdr:rowOff>127000</xdr:rowOff>
    </xdr:to>
    <xdr:cxnSp macro="">
      <xdr:nvCxnSpPr>
        <xdr:cNvPr id="29" name="Straight Connector 72">
          <a:extLst>
            <a:ext uri="{FF2B5EF4-FFF2-40B4-BE49-F238E27FC236}">
              <a16:creationId xmlns:a16="http://schemas.microsoft.com/office/drawing/2014/main" id="{A373E65C-DE81-4EC9-A282-A4C9EFEA398A}"/>
            </a:ext>
          </a:extLst>
        </xdr:cNvPr>
        <xdr:cNvCxnSpPr/>
      </xdr:nvCxnSpPr>
      <xdr:spPr bwMode="auto">
        <a:xfrm>
          <a:off x="8714708" y="22098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635059</xdr:colOff>
      <xdr:row>20</xdr:row>
      <xdr:rowOff>112004</xdr:rowOff>
    </xdr:from>
    <xdr:to>
      <xdr:col>13</xdr:col>
      <xdr:colOff>779933</xdr:colOff>
      <xdr:row>20</xdr:row>
      <xdr:rowOff>112004</xdr:rowOff>
    </xdr:to>
    <xdr:cxnSp macro="">
      <xdr:nvCxnSpPr>
        <xdr:cNvPr id="30" name="Straight Connector 72">
          <a:extLst>
            <a:ext uri="{FF2B5EF4-FFF2-40B4-BE49-F238E27FC236}">
              <a16:creationId xmlns:a16="http://schemas.microsoft.com/office/drawing/2014/main" id="{C36D46F9-5343-496E-8BBB-FBA707B5B557}"/>
            </a:ext>
          </a:extLst>
        </xdr:cNvPr>
        <xdr:cNvCxnSpPr/>
      </xdr:nvCxnSpPr>
      <xdr:spPr bwMode="auto">
        <a:xfrm>
          <a:off x="10668059" y="3750554"/>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279460</xdr:colOff>
      <xdr:row>33</xdr:row>
      <xdr:rowOff>66255</xdr:rowOff>
    </xdr:from>
    <xdr:to>
      <xdr:col>14</xdr:col>
      <xdr:colOff>424334</xdr:colOff>
      <xdr:row>33</xdr:row>
      <xdr:rowOff>66255</xdr:rowOff>
    </xdr:to>
    <xdr:cxnSp macro="">
      <xdr:nvCxnSpPr>
        <xdr:cNvPr id="31" name="Straight Connector 72">
          <a:extLst>
            <a:ext uri="{FF2B5EF4-FFF2-40B4-BE49-F238E27FC236}">
              <a16:creationId xmlns:a16="http://schemas.microsoft.com/office/drawing/2014/main" id="{A5AE7499-DEAD-447B-9C23-5349C5E80666}"/>
            </a:ext>
          </a:extLst>
        </xdr:cNvPr>
        <xdr:cNvCxnSpPr/>
      </xdr:nvCxnSpPr>
      <xdr:spPr bwMode="auto">
        <a:xfrm>
          <a:off x="11131610" y="6098755"/>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563910</xdr:colOff>
      <xdr:row>45</xdr:row>
      <xdr:rowOff>145056</xdr:rowOff>
    </xdr:from>
    <xdr:to>
      <xdr:col>13</xdr:col>
      <xdr:colOff>708784</xdr:colOff>
      <xdr:row>45</xdr:row>
      <xdr:rowOff>145056</xdr:rowOff>
    </xdr:to>
    <xdr:cxnSp macro="">
      <xdr:nvCxnSpPr>
        <xdr:cNvPr id="32" name="Straight Connector 72">
          <a:extLst>
            <a:ext uri="{FF2B5EF4-FFF2-40B4-BE49-F238E27FC236}">
              <a16:creationId xmlns:a16="http://schemas.microsoft.com/office/drawing/2014/main" id="{1BB30301-5C36-49E8-A48E-2095A47CCA65}"/>
            </a:ext>
          </a:extLst>
        </xdr:cNvPr>
        <xdr:cNvCxnSpPr/>
      </xdr:nvCxnSpPr>
      <xdr:spPr bwMode="auto">
        <a:xfrm>
          <a:off x="10596910" y="8387356"/>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273440</xdr:colOff>
      <xdr:row>57</xdr:row>
      <xdr:rowOff>97367</xdr:rowOff>
    </xdr:from>
    <xdr:to>
      <xdr:col>12</xdr:col>
      <xdr:colOff>418315</xdr:colOff>
      <xdr:row>57</xdr:row>
      <xdr:rowOff>97367</xdr:rowOff>
    </xdr:to>
    <xdr:cxnSp macro="">
      <xdr:nvCxnSpPr>
        <xdr:cNvPr id="33" name="Straight Connector 72">
          <a:hlinkClick xmlns:r="http://schemas.openxmlformats.org/officeDocument/2006/relationships" r:id="rId11"/>
          <a:extLst>
            <a:ext uri="{FF2B5EF4-FFF2-40B4-BE49-F238E27FC236}">
              <a16:creationId xmlns:a16="http://schemas.microsoft.com/office/drawing/2014/main" id="{82E99467-0F5D-4F8F-B879-582D2DA3D66B}"/>
            </a:ext>
          </a:extLst>
        </xdr:cNvPr>
        <xdr:cNvCxnSpPr/>
      </xdr:nvCxnSpPr>
      <xdr:spPr bwMode="auto">
        <a:xfrm>
          <a:off x="9487290" y="10365317"/>
          <a:ext cx="96402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671170</xdr:colOff>
      <xdr:row>63</xdr:row>
      <xdr:rowOff>65438</xdr:rowOff>
    </xdr:from>
    <xdr:to>
      <xdr:col>10</xdr:col>
      <xdr:colOff>12731</xdr:colOff>
      <xdr:row>63</xdr:row>
      <xdr:rowOff>65438</xdr:rowOff>
    </xdr:to>
    <xdr:cxnSp macro="">
      <xdr:nvCxnSpPr>
        <xdr:cNvPr id="34" name="Straight Connector 72">
          <a:hlinkClick xmlns:r="http://schemas.openxmlformats.org/officeDocument/2006/relationships" r:id="rId12"/>
          <a:extLst>
            <a:ext uri="{FF2B5EF4-FFF2-40B4-BE49-F238E27FC236}">
              <a16:creationId xmlns:a16="http://schemas.microsoft.com/office/drawing/2014/main" id="{D9F9FD45-1A02-404D-AE9F-4694A4F62F35}"/>
            </a:ext>
          </a:extLst>
        </xdr:cNvPr>
        <xdr:cNvCxnSpPr/>
      </xdr:nvCxnSpPr>
      <xdr:spPr bwMode="auto">
        <a:xfrm>
          <a:off x="7427570" y="11438288"/>
          <a:ext cx="9798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13932</xdr:colOff>
      <xdr:row>58</xdr:row>
      <xdr:rowOff>52433</xdr:rowOff>
    </xdr:from>
    <xdr:to>
      <xdr:col>4</xdr:col>
      <xdr:colOff>158807</xdr:colOff>
      <xdr:row>58</xdr:row>
      <xdr:rowOff>52433</xdr:rowOff>
    </xdr:to>
    <xdr:cxnSp macro="">
      <xdr:nvCxnSpPr>
        <xdr:cNvPr id="35" name="Straight Connector 72">
          <a:extLst>
            <a:ext uri="{FF2B5EF4-FFF2-40B4-BE49-F238E27FC236}">
              <a16:creationId xmlns:a16="http://schemas.microsoft.com/office/drawing/2014/main" id="{C9223995-5EBE-4F34-BE3A-86C88B893F93}"/>
            </a:ext>
          </a:extLst>
        </xdr:cNvPr>
        <xdr:cNvCxnSpPr/>
      </xdr:nvCxnSpPr>
      <xdr:spPr bwMode="auto">
        <a:xfrm>
          <a:off x="2674582" y="10504533"/>
          <a:ext cx="96402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269208</xdr:colOff>
      <xdr:row>45</xdr:row>
      <xdr:rowOff>38100</xdr:rowOff>
    </xdr:from>
    <xdr:to>
      <xdr:col>3</xdr:col>
      <xdr:colOff>414082</xdr:colOff>
      <xdr:row>45</xdr:row>
      <xdr:rowOff>38100</xdr:rowOff>
    </xdr:to>
    <xdr:cxnSp macro="">
      <xdr:nvCxnSpPr>
        <xdr:cNvPr id="36" name="Straight Connector 72">
          <a:extLst>
            <a:ext uri="{FF2B5EF4-FFF2-40B4-BE49-F238E27FC236}">
              <a16:creationId xmlns:a16="http://schemas.microsoft.com/office/drawing/2014/main" id="{0E1903BD-6A07-486E-A288-69310CE4740E}"/>
            </a:ext>
          </a:extLst>
        </xdr:cNvPr>
        <xdr:cNvCxnSpPr/>
      </xdr:nvCxnSpPr>
      <xdr:spPr bwMode="auto">
        <a:xfrm>
          <a:off x="2110708" y="82804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383508</xdr:colOff>
      <xdr:row>33</xdr:row>
      <xdr:rowOff>81402</xdr:rowOff>
    </xdr:from>
    <xdr:to>
      <xdr:col>2</xdr:col>
      <xdr:colOff>528382</xdr:colOff>
      <xdr:row>33</xdr:row>
      <xdr:rowOff>81402</xdr:rowOff>
    </xdr:to>
    <xdr:cxnSp macro="">
      <xdr:nvCxnSpPr>
        <xdr:cNvPr id="37" name="Straight Connector 72">
          <a:extLst>
            <a:ext uri="{FF2B5EF4-FFF2-40B4-BE49-F238E27FC236}">
              <a16:creationId xmlns:a16="http://schemas.microsoft.com/office/drawing/2014/main" id="{0FD4A608-47A4-4AA1-AFF4-521FD0C76FCA}"/>
            </a:ext>
          </a:extLst>
        </xdr:cNvPr>
        <xdr:cNvCxnSpPr/>
      </xdr:nvCxnSpPr>
      <xdr:spPr bwMode="auto">
        <a:xfrm>
          <a:off x="1405858" y="6113902"/>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139913</xdr:colOff>
      <xdr:row>18</xdr:row>
      <xdr:rowOff>158061</xdr:rowOff>
    </xdr:from>
    <xdr:to>
      <xdr:col>3</xdr:col>
      <xdr:colOff>284787</xdr:colOff>
      <xdr:row>18</xdr:row>
      <xdr:rowOff>158061</xdr:rowOff>
    </xdr:to>
    <xdr:cxnSp macro="">
      <xdr:nvCxnSpPr>
        <xdr:cNvPr id="38" name="Straight Connector 72">
          <a:extLst>
            <a:ext uri="{FF2B5EF4-FFF2-40B4-BE49-F238E27FC236}">
              <a16:creationId xmlns:a16="http://schemas.microsoft.com/office/drawing/2014/main" id="{28D871E2-7F75-4D82-AC56-6570C4E7B129}"/>
            </a:ext>
          </a:extLst>
        </xdr:cNvPr>
        <xdr:cNvCxnSpPr/>
      </xdr:nvCxnSpPr>
      <xdr:spPr bwMode="auto">
        <a:xfrm>
          <a:off x="1981413" y="3428311"/>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510508</xdr:colOff>
      <xdr:row>12</xdr:row>
      <xdr:rowOff>101600</xdr:rowOff>
    </xdr:from>
    <xdr:to>
      <xdr:col>5</xdr:col>
      <xdr:colOff>655382</xdr:colOff>
      <xdr:row>12</xdr:row>
      <xdr:rowOff>101600</xdr:rowOff>
    </xdr:to>
    <xdr:cxnSp macro="">
      <xdr:nvCxnSpPr>
        <xdr:cNvPr id="39" name="Straight Connector 72">
          <a:extLst>
            <a:ext uri="{FF2B5EF4-FFF2-40B4-BE49-F238E27FC236}">
              <a16:creationId xmlns:a16="http://schemas.microsoft.com/office/drawing/2014/main" id="{325EC9F6-CB47-4F57-993E-859E4E606DB9}"/>
            </a:ext>
          </a:extLst>
        </xdr:cNvPr>
        <xdr:cNvCxnSpPr/>
      </xdr:nvCxnSpPr>
      <xdr:spPr bwMode="auto">
        <a:xfrm>
          <a:off x="3990308" y="2184400"/>
          <a:ext cx="96402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452652</xdr:colOff>
      <xdr:row>9</xdr:row>
      <xdr:rowOff>2114</xdr:rowOff>
    </xdr:from>
    <xdr:to>
      <xdr:col>11</xdr:col>
      <xdr:colOff>520699</xdr:colOff>
      <xdr:row>11</xdr:row>
      <xdr:rowOff>127000</xdr:rowOff>
    </xdr:to>
    <xdr:sp macro="" textlink="">
      <xdr:nvSpPr>
        <xdr:cNvPr id="40" name="TextBox 70">
          <a:extLst>
            <a:ext uri="{FF2B5EF4-FFF2-40B4-BE49-F238E27FC236}">
              <a16:creationId xmlns:a16="http://schemas.microsoft.com/office/drawing/2014/main" id="{56711E58-A522-48EA-BC5F-3ED4FAFA97EC}"/>
            </a:ext>
          </a:extLst>
        </xdr:cNvPr>
        <xdr:cNvSpPr txBox="1"/>
      </xdr:nvSpPr>
      <xdr:spPr bwMode="auto">
        <a:xfrm>
          <a:off x="8847352" y="15324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02</a:t>
          </a:r>
        </a:p>
      </xdr:txBody>
    </xdr:sp>
    <xdr:clientData/>
  </xdr:twoCellAnchor>
  <xdr:twoCellAnchor>
    <xdr:from>
      <xdr:col>12</xdr:col>
      <xdr:colOff>691350</xdr:colOff>
      <xdr:row>17</xdr:row>
      <xdr:rowOff>75866</xdr:rowOff>
    </xdr:from>
    <xdr:to>
      <xdr:col>13</xdr:col>
      <xdr:colOff>759397</xdr:colOff>
      <xdr:row>19</xdr:row>
      <xdr:rowOff>124552</xdr:rowOff>
    </xdr:to>
    <xdr:sp macro="" textlink="">
      <xdr:nvSpPr>
        <xdr:cNvPr id="41" name="TextBox 70">
          <a:extLst>
            <a:ext uri="{FF2B5EF4-FFF2-40B4-BE49-F238E27FC236}">
              <a16:creationId xmlns:a16="http://schemas.microsoft.com/office/drawing/2014/main" id="{E235CF9D-65AB-44D2-A1EE-42D07C84DBC3}"/>
            </a:ext>
          </a:extLst>
        </xdr:cNvPr>
        <xdr:cNvSpPr txBox="1"/>
      </xdr:nvSpPr>
      <xdr:spPr bwMode="auto">
        <a:xfrm>
          <a:off x="10724350" y="3079416"/>
          <a:ext cx="887197" cy="4995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03</a:t>
          </a:r>
        </a:p>
      </xdr:txBody>
    </xdr:sp>
    <xdr:clientData/>
  </xdr:twoCellAnchor>
  <xdr:twoCellAnchor>
    <xdr:from>
      <xdr:col>13</xdr:col>
      <xdr:colOff>363752</xdr:colOff>
      <xdr:row>29</xdr:row>
      <xdr:rowOff>141814</xdr:rowOff>
    </xdr:from>
    <xdr:to>
      <xdr:col>14</xdr:col>
      <xdr:colOff>431799</xdr:colOff>
      <xdr:row>32</xdr:row>
      <xdr:rowOff>76200</xdr:rowOff>
    </xdr:to>
    <xdr:sp macro="" textlink="">
      <xdr:nvSpPr>
        <xdr:cNvPr id="42" name="TextBox 70">
          <a:extLst>
            <a:ext uri="{FF2B5EF4-FFF2-40B4-BE49-F238E27FC236}">
              <a16:creationId xmlns:a16="http://schemas.microsoft.com/office/drawing/2014/main" id="{FC487FCE-E777-4590-ADC5-B94D7D4E9C1B}"/>
            </a:ext>
          </a:extLst>
        </xdr:cNvPr>
        <xdr:cNvSpPr txBox="1"/>
      </xdr:nvSpPr>
      <xdr:spPr bwMode="auto">
        <a:xfrm>
          <a:off x="11215902" y="5437714"/>
          <a:ext cx="88719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04</a:t>
          </a:r>
        </a:p>
      </xdr:txBody>
    </xdr:sp>
    <xdr:clientData/>
  </xdr:twoCellAnchor>
  <xdr:twoCellAnchor>
    <xdr:from>
      <xdr:col>12</xdr:col>
      <xdr:colOff>656006</xdr:colOff>
      <xdr:row>42</xdr:row>
      <xdr:rowOff>11600</xdr:rowOff>
    </xdr:from>
    <xdr:to>
      <xdr:col>13</xdr:col>
      <xdr:colOff>724053</xdr:colOff>
      <xdr:row>44</xdr:row>
      <xdr:rowOff>129601</xdr:rowOff>
    </xdr:to>
    <xdr:sp macro="" textlink="">
      <xdr:nvSpPr>
        <xdr:cNvPr id="43" name="TextBox 70">
          <a:extLst>
            <a:ext uri="{FF2B5EF4-FFF2-40B4-BE49-F238E27FC236}">
              <a16:creationId xmlns:a16="http://schemas.microsoft.com/office/drawing/2014/main" id="{B884AA6C-16C3-4F6C-9357-D112641310B8}"/>
            </a:ext>
          </a:extLst>
        </xdr:cNvPr>
        <xdr:cNvSpPr txBox="1"/>
      </xdr:nvSpPr>
      <xdr:spPr bwMode="auto">
        <a:xfrm>
          <a:off x="10689006" y="7701450"/>
          <a:ext cx="887197" cy="486301"/>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05</a:t>
          </a:r>
        </a:p>
      </xdr:txBody>
    </xdr:sp>
    <xdr:clientData/>
  </xdr:twoCellAnchor>
  <xdr:twoCellAnchor>
    <xdr:from>
      <xdr:col>11</xdr:col>
      <xdr:colOff>376452</xdr:colOff>
      <xdr:row>53</xdr:row>
      <xdr:rowOff>14814</xdr:rowOff>
    </xdr:from>
    <xdr:to>
      <xdr:col>12</xdr:col>
      <xdr:colOff>444500</xdr:colOff>
      <xdr:row>55</xdr:row>
      <xdr:rowOff>139700</xdr:rowOff>
    </xdr:to>
    <xdr:sp macro="" textlink="">
      <xdr:nvSpPr>
        <xdr:cNvPr id="44" name="TextBox 70">
          <a:extLst>
            <a:ext uri="{FF2B5EF4-FFF2-40B4-BE49-F238E27FC236}">
              <a16:creationId xmlns:a16="http://schemas.microsoft.com/office/drawing/2014/main" id="{741CC997-37D2-49CA-A025-8B07EA99DA34}"/>
            </a:ext>
          </a:extLst>
        </xdr:cNvPr>
        <xdr:cNvSpPr txBox="1"/>
      </xdr:nvSpPr>
      <xdr:spPr bwMode="auto">
        <a:xfrm>
          <a:off x="9590302" y="9730314"/>
          <a:ext cx="887198"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06</a:t>
          </a:r>
        </a:p>
      </xdr:txBody>
    </xdr:sp>
    <xdr:clientData/>
  </xdr:twoCellAnchor>
  <xdr:twoCellAnchor>
    <xdr:from>
      <xdr:col>8</xdr:col>
      <xdr:colOff>773211</xdr:colOff>
      <xdr:row>59</xdr:row>
      <xdr:rowOff>148802</xdr:rowOff>
    </xdr:from>
    <xdr:to>
      <xdr:col>10</xdr:col>
      <xdr:colOff>37945</xdr:colOff>
      <xdr:row>62</xdr:row>
      <xdr:rowOff>83188</xdr:rowOff>
    </xdr:to>
    <xdr:sp macro="" textlink="">
      <xdr:nvSpPr>
        <xdr:cNvPr id="45" name="TextBox 70">
          <a:extLst>
            <a:ext uri="{FF2B5EF4-FFF2-40B4-BE49-F238E27FC236}">
              <a16:creationId xmlns:a16="http://schemas.microsoft.com/office/drawing/2014/main" id="{BCF4C5FE-EE0C-42CD-9909-1E04BB640AAA}"/>
            </a:ext>
          </a:extLst>
        </xdr:cNvPr>
        <xdr:cNvSpPr txBox="1"/>
      </xdr:nvSpPr>
      <xdr:spPr bwMode="auto">
        <a:xfrm>
          <a:off x="7529611" y="10785052"/>
          <a:ext cx="903034"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07</a:t>
          </a:r>
        </a:p>
      </xdr:txBody>
    </xdr:sp>
    <xdr:clientData/>
  </xdr:twoCellAnchor>
  <xdr:twoCellAnchor>
    <xdr:from>
      <xdr:col>3</xdr:col>
      <xdr:colOff>87004</xdr:colOff>
      <xdr:row>53</xdr:row>
      <xdr:rowOff>129929</xdr:rowOff>
    </xdr:from>
    <xdr:to>
      <xdr:col>4</xdr:col>
      <xdr:colOff>155052</xdr:colOff>
      <xdr:row>57</xdr:row>
      <xdr:rowOff>64315</xdr:rowOff>
    </xdr:to>
    <xdr:sp macro="" textlink="">
      <xdr:nvSpPr>
        <xdr:cNvPr id="46" name="TextBox 70">
          <a:extLst>
            <a:ext uri="{FF2B5EF4-FFF2-40B4-BE49-F238E27FC236}">
              <a16:creationId xmlns:a16="http://schemas.microsoft.com/office/drawing/2014/main" id="{203C3BD4-509C-4A81-AF36-03AB3186726F}"/>
            </a:ext>
          </a:extLst>
        </xdr:cNvPr>
        <xdr:cNvSpPr txBox="1"/>
      </xdr:nvSpPr>
      <xdr:spPr bwMode="auto">
        <a:xfrm>
          <a:off x="2747654" y="9845429"/>
          <a:ext cx="88719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09</a:t>
          </a:r>
        </a:p>
      </xdr:txBody>
    </xdr:sp>
    <xdr:clientData/>
  </xdr:twoCellAnchor>
  <xdr:twoCellAnchor>
    <xdr:from>
      <xdr:col>2</xdr:col>
      <xdr:colOff>376452</xdr:colOff>
      <xdr:row>41</xdr:row>
      <xdr:rowOff>116414</xdr:rowOff>
    </xdr:from>
    <xdr:to>
      <xdr:col>3</xdr:col>
      <xdr:colOff>444499</xdr:colOff>
      <xdr:row>44</xdr:row>
      <xdr:rowOff>50800</xdr:rowOff>
    </xdr:to>
    <xdr:sp macro="" textlink="">
      <xdr:nvSpPr>
        <xdr:cNvPr id="47" name="TextBox 70">
          <a:extLst>
            <a:ext uri="{FF2B5EF4-FFF2-40B4-BE49-F238E27FC236}">
              <a16:creationId xmlns:a16="http://schemas.microsoft.com/office/drawing/2014/main" id="{B346F47D-C2DD-4C21-BC90-249319264F72}"/>
            </a:ext>
          </a:extLst>
        </xdr:cNvPr>
        <xdr:cNvSpPr txBox="1"/>
      </xdr:nvSpPr>
      <xdr:spPr bwMode="auto">
        <a:xfrm>
          <a:off x="2217952" y="7622114"/>
          <a:ext cx="88719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10</a:t>
          </a:r>
        </a:p>
      </xdr:txBody>
    </xdr:sp>
    <xdr:clientData/>
  </xdr:twoCellAnchor>
  <xdr:twoCellAnchor>
    <xdr:from>
      <xdr:col>1</xdr:col>
      <xdr:colOff>503452</xdr:colOff>
      <xdr:row>30</xdr:row>
      <xdr:rowOff>2114</xdr:rowOff>
    </xdr:from>
    <xdr:to>
      <xdr:col>2</xdr:col>
      <xdr:colOff>571499</xdr:colOff>
      <xdr:row>32</xdr:row>
      <xdr:rowOff>127000</xdr:rowOff>
    </xdr:to>
    <xdr:sp macro="" textlink="">
      <xdr:nvSpPr>
        <xdr:cNvPr id="48" name="TextBox 70">
          <a:extLst>
            <a:ext uri="{FF2B5EF4-FFF2-40B4-BE49-F238E27FC236}">
              <a16:creationId xmlns:a16="http://schemas.microsoft.com/office/drawing/2014/main" id="{20856045-523B-427A-85B6-C8BD327EF450}"/>
            </a:ext>
          </a:extLst>
        </xdr:cNvPr>
        <xdr:cNvSpPr txBox="1"/>
      </xdr:nvSpPr>
      <xdr:spPr bwMode="auto">
        <a:xfrm>
          <a:off x="1525802" y="54821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11</a:t>
          </a:r>
        </a:p>
      </xdr:txBody>
    </xdr:sp>
    <xdr:clientData/>
  </xdr:twoCellAnchor>
  <xdr:twoCellAnchor>
    <xdr:from>
      <xdr:col>2</xdr:col>
      <xdr:colOff>168049</xdr:colOff>
      <xdr:row>15</xdr:row>
      <xdr:rowOff>132174</xdr:rowOff>
    </xdr:from>
    <xdr:to>
      <xdr:col>3</xdr:col>
      <xdr:colOff>236096</xdr:colOff>
      <xdr:row>17</xdr:row>
      <xdr:rowOff>265016</xdr:rowOff>
    </xdr:to>
    <xdr:sp macro="" textlink="">
      <xdr:nvSpPr>
        <xdr:cNvPr id="49" name="TextBox 70">
          <a:extLst>
            <a:ext uri="{FF2B5EF4-FFF2-40B4-BE49-F238E27FC236}">
              <a16:creationId xmlns:a16="http://schemas.microsoft.com/office/drawing/2014/main" id="{5E3A315C-FCC8-4BB6-A6E0-22F0E8335C5D}"/>
            </a:ext>
          </a:extLst>
        </xdr:cNvPr>
        <xdr:cNvSpPr txBox="1"/>
      </xdr:nvSpPr>
      <xdr:spPr bwMode="auto">
        <a:xfrm>
          <a:off x="2009549" y="2767424"/>
          <a:ext cx="887197" cy="501142"/>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12</a:t>
          </a:r>
        </a:p>
      </xdr:txBody>
    </xdr:sp>
    <xdr:clientData/>
  </xdr:twoCellAnchor>
  <xdr:twoCellAnchor>
    <xdr:from>
      <xdr:col>4</xdr:col>
      <xdr:colOff>579652</xdr:colOff>
      <xdr:row>9</xdr:row>
      <xdr:rowOff>40214</xdr:rowOff>
    </xdr:from>
    <xdr:to>
      <xdr:col>5</xdr:col>
      <xdr:colOff>647699</xdr:colOff>
      <xdr:row>11</xdr:row>
      <xdr:rowOff>165100</xdr:rowOff>
    </xdr:to>
    <xdr:sp macro="" textlink="">
      <xdr:nvSpPr>
        <xdr:cNvPr id="50" name="TextBox 70">
          <a:extLst>
            <a:ext uri="{FF2B5EF4-FFF2-40B4-BE49-F238E27FC236}">
              <a16:creationId xmlns:a16="http://schemas.microsoft.com/office/drawing/2014/main" id="{CE2F9214-7085-4C16-96EB-52FEB4805F8C}"/>
            </a:ext>
          </a:extLst>
        </xdr:cNvPr>
        <xdr:cNvSpPr txBox="1"/>
      </xdr:nvSpPr>
      <xdr:spPr bwMode="auto">
        <a:xfrm>
          <a:off x="4059452" y="1570564"/>
          <a:ext cx="88719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13</a:t>
          </a:r>
        </a:p>
      </xdr:txBody>
    </xdr:sp>
    <xdr:clientData/>
  </xdr:twoCellAnchor>
  <xdr:twoCellAnchor>
    <xdr:from>
      <xdr:col>4</xdr:col>
      <xdr:colOff>777859</xdr:colOff>
      <xdr:row>57</xdr:row>
      <xdr:rowOff>65402</xdr:rowOff>
    </xdr:from>
    <xdr:to>
      <xdr:col>7</xdr:col>
      <xdr:colOff>778451</xdr:colOff>
      <xdr:row>70</xdr:row>
      <xdr:rowOff>87348</xdr:rowOff>
    </xdr:to>
    <xdr:sp macro="" textlink="">
      <xdr:nvSpPr>
        <xdr:cNvPr id="51" name="Lágrima 184">
          <a:extLst>
            <a:ext uri="{FF2B5EF4-FFF2-40B4-BE49-F238E27FC236}">
              <a16:creationId xmlns:a16="http://schemas.microsoft.com/office/drawing/2014/main" id="{3090CA27-329F-4BA9-8D7A-F12525213B9C}"/>
            </a:ext>
          </a:extLst>
        </xdr:cNvPr>
        <xdr:cNvSpPr/>
      </xdr:nvSpPr>
      <xdr:spPr>
        <a:xfrm rot="9157431">
          <a:off x="4257659" y="10333352"/>
          <a:ext cx="2458042" cy="2415896"/>
        </a:xfrm>
        <a:prstGeom prst="teardrop">
          <a:avLst/>
        </a:prstGeom>
        <a:solidFill>
          <a:srgbClr val="532963"/>
        </a:solidFill>
        <a:ln>
          <a:solidFill>
            <a:srgbClr val="53296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6</xdr:col>
      <xdr:colOff>17537</xdr:colOff>
      <xdr:row>59</xdr:row>
      <xdr:rowOff>167570</xdr:rowOff>
    </xdr:from>
    <xdr:to>
      <xdr:col>7</xdr:col>
      <xdr:colOff>85585</xdr:colOff>
      <xdr:row>62</xdr:row>
      <xdr:rowOff>101956</xdr:rowOff>
    </xdr:to>
    <xdr:sp macro="" textlink="">
      <xdr:nvSpPr>
        <xdr:cNvPr id="52" name="TextBox 70">
          <a:extLst>
            <a:ext uri="{FF2B5EF4-FFF2-40B4-BE49-F238E27FC236}">
              <a16:creationId xmlns:a16="http://schemas.microsoft.com/office/drawing/2014/main" id="{0AD6E675-66EC-4FFC-A6FE-A5A536F2AED2}"/>
            </a:ext>
          </a:extLst>
        </xdr:cNvPr>
        <xdr:cNvSpPr txBox="1"/>
      </xdr:nvSpPr>
      <xdr:spPr bwMode="auto">
        <a:xfrm>
          <a:off x="5135637" y="10803820"/>
          <a:ext cx="88719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08</a:t>
          </a:r>
        </a:p>
      </xdr:txBody>
    </xdr:sp>
    <xdr:clientData/>
  </xdr:twoCellAnchor>
  <xdr:twoCellAnchor>
    <xdr:from>
      <xdr:col>5</xdr:col>
      <xdr:colOff>701875</xdr:colOff>
      <xdr:row>63</xdr:row>
      <xdr:rowOff>67121</xdr:rowOff>
    </xdr:from>
    <xdr:to>
      <xdr:col>7</xdr:col>
      <xdr:colOff>43436</xdr:colOff>
      <xdr:row>63</xdr:row>
      <xdr:rowOff>67121</xdr:rowOff>
    </xdr:to>
    <xdr:cxnSp macro="">
      <xdr:nvCxnSpPr>
        <xdr:cNvPr id="53" name="Straight Connector 72">
          <a:extLst>
            <a:ext uri="{FF2B5EF4-FFF2-40B4-BE49-F238E27FC236}">
              <a16:creationId xmlns:a16="http://schemas.microsoft.com/office/drawing/2014/main" id="{9C3FE607-A2F2-421F-9356-9CE2F9666594}"/>
            </a:ext>
          </a:extLst>
        </xdr:cNvPr>
        <xdr:cNvCxnSpPr/>
      </xdr:nvCxnSpPr>
      <xdr:spPr bwMode="auto">
        <a:xfrm>
          <a:off x="5000825" y="11439971"/>
          <a:ext cx="9798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167369</xdr:colOff>
      <xdr:row>63</xdr:row>
      <xdr:rowOff>75586</xdr:rowOff>
    </xdr:from>
    <xdr:to>
      <xdr:col>7</xdr:col>
      <xdr:colOff>566144</xdr:colOff>
      <xdr:row>67</xdr:row>
      <xdr:rowOff>3828</xdr:rowOff>
    </xdr:to>
    <xdr:sp macro="" textlink="">
      <xdr:nvSpPr>
        <xdr:cNvPr id="54" name="TextBox 121">
          <a:hlinkClick xmlns:r="http://schemas.openxmlformats.org/officeDocument/2006/relationships" r:id="rId13"/>
          <a:extLst>
            <a:ext uri="{FF2B5EF4-FFF2-40B4-BE49-F238E27FC236}">
              <a16:creationId xmlns:a16="http://schemas.microsoft.com/office/drawing/2014/main" id="{3EA4AA40-F529-4FE6-B3A8-9846F25BC517}"/>
            </a:ext>
          </a:extLst>
        </xdr:cNvPr>
        <xdr:cNvSpPr txBox="1"/>
      </xdr:nvSpPr>
      <xdr:spPr bwMode="auto">
        <a:xfrm>
          <a:off x="4466319" y="11448436"/>
          <a:ext cx="2037075"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Incentivos Institucionales</a:t>
          </a:r>
        </a:p>
      </xdr:txBody>
    </xdr:sp>
    <xdr:clientData/>
  </xdr:twoCellAnchor>
  <xdr:twoCellAnchor editAs="oneCell">
    <xdr:from>
      <xdr:col>0</xdr:col>
      <xdr:colOff>0</xdr:colOff>
      <xdr:row>0</xdr:row>
      <xdr:rowOff>1</xdr:rowOff>
    </xdr:from>
    <xdr:to>
      <xdr:col>5</xdr:col>
      <xdr:colOff>152469</xdr:colOff>
      <xdr:row>6</xdr:row>
      <xdr:rowOff>47687</xdr:rowOff>
    </xdr:to>
    <xdr:pic>
      <xdr:nvPicPr>
        <xdr:cNvPr id="55" name="Imagen 54">
          <a:extLst>
            <a:ext uri="{FF2B5EF4-FFF2-40B4-BE49-F238E27FC236}">
              <a16:creationId xmlns:a16="http://schemas.microsoft.com/office/drawing/2014/main" id="{3823E1BA-ACC0-4BB0-ADEC-F9ED380EC680}"/>
            </a:ext>
          </a:extLst>
        </xdr:cNvPr>
        <xdr:cNvPicPr>
          <a:picLocks noChangeAspect="1"/>
        </xdr:cNvPicPr>
      </xdr:nvPicPr>
      <xdr:blipFill>
        <a:blip xmlns:r="http://schemas.openxmlformats.org/officeDocument/2006/relationships" r:embed="rId1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1"/>
          <a:ext cx="4451419" cy="1025586"/>
        </a:xfrm>
        <a:prstGeom prst="rect">
          <a:avLst/>
        </a:prstGeom>
      </xdr:spPr>
    </xdr:pic>
    <xdr:clientData/>
  </xdr:twoCellAnchor>
  <xdr:twoCellAnchor>
    <xdr:from>
      <xdr:col>16384</xdr:col>
      <xdr:colOff>333762</xdr:colOff>
      <xdr:row>12</xdr:row>
      <xdr:rowOff>128297</xdr:rowOff>
    </xdr:from>
    <xdr:to>
      <xdr:col>16384</xdr:col>
      <xdr:colOff>913273</xdr:colOff>
      <xdr:row>14</xdr:row>
      <xdr:rowOff>12576</xdr:rowOff>
    </xdr:to>
    <xdr:sp macro="" textlink="">
      <xdr:nvSpPr>
        <xdr:cNvPr id="56" name="Rectángulo redondeado 20">
          <a:extLst>
            <a:ext uri="{FF2B5EF4-FFF2-40B4-BE49-F238E27FC236}">
              <a16:creationId xmlns:a16="http://schemas.microsoft.com/office/drawing/2014/main" id="{CC8C3892-0EAC-442B-A9EE-56E03398D39F}"/>
            </a:ext>
          </a:extLst>
        </xdr:cNvPr>
        <xdr:cNvSpPr/>
      </xdr:nvSpPr>
      <xdr:spPr>
        <a:xfrm>
          <a:off x="13643362" y="2211097"/>
          <a:ext cx="427111" cy="252579"/>
        </a:xfrm>
        <a:prstGeom prst="roundRect">
          <a:avLst/>
        </a:prstGeom>
        <a:solidFill>
          <a:srgbClr val="E639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algn="ctr"/>
          <a:endParaRPr lang="es-CO"/>
        </a:p>
      </xdr:txBody>
    </xdr:sp>
    <xdr:clientData/>
  </xdr:twoCellAnchor>
  <xdr:twoCellAnchor>
    <xdr:from>
      <xdr:col>16384</xdr:col>
      <xdr:colOff>144352</xdr:colOff>
      <xdr:row>17</xdr:row>
      <xdr:rowOff>17048</xdr:rowOff>
    </xdr:from>
    <xdr:to>
      <xdr:col>16384</xdr:col>
      <xdr:colOff>723863</xdr:colOff>
      <xdr:row>17</xdr:row>
      <xdr:rowOff>260240</xdr:rowOff>
    </xdr:to>
    <xdr:sp macro="" textlink="">
      <xdr:nvSpPr>
        <xdr:cNvPr id="57" name="Rectángulo redondeado 24">
          <a:extLst>
            <a:ext uri="{FF2B5EF4-FFF2-40B4-BE49-F238E27FC236}">
              <a16:creationId xmlns:a16="http://schemas.microsoft.com/office/drawing/2014/main" id="{631636DF-A235-46A2-AB45-EACD4C5B0EEA}"/>
            </a:ext>
          </a:extLst>
        </xdr:cNvPr>
        <xdr:cNvSpPr/>
      </xdr:nvSpPr>
      <xdr:spPr>
        <a:xfrm>
          <a:off x="13453952" y="3020598"/>
          <a:ext cx="579511" cy="243192"/>
        </a:xfrm>
        <a:prstGeom prst="roundRect">
          <a:avLst/>
        </a:prstGeom>
        <a:solidFill>
          <a:srgbClr val="C3FF9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algn="ctr"/>
          <a:endParaRPr lang="es-CO"/>
        </a:p>
      </xdr:txBody>
    </xdr:sp>
    <xdr:clientData/>
  </xdr:twoCellAnchor>
  <xdr:twoCellAnchor editAs="oneCell">
    <xdr:from>
      <xdr:col>7</xdr:col>
      <xdr:colOff>0</xdr:colOff>
      <xdr:row>35</xdr:row>
      <xdr:rowOff>42331</xdr:rowOff>
    </xdr:from>
    <xdr:to>
      <xdr:col>9</xdr:col>
      <xdr:colOff>0</xdr:colOff>
      <xdr:row>42</xdr:row>
      <xdr:rowOff>1043</xdr:rowOff>
    </xdr:to>
    <xdr:pic>
      <xdr:nvPicPr>
        <xdr:cNvPr id="58" name="Imagen 57">
          <a:extLst>
            <a:ext uri="{FF2B5EF4-FFF2-40B4-BE49-F238E27FC236}">
              <a16:creationId xmlns:a16="http://schemas.microsoft.com/office/drawing/2014/main" id="{F1737CBD-8CDF-49D0-B5A0-B0A1069C1EB2}"/>
            </a:ext>
          </a:extLst>
        </xdr:cNvPr>
        <xdr:cNvPicPr>
          <a:picLocks noChangeAspect="1"/>
        </xdr:cNvPicPr>
      </xdr:nvPicPr>
      <xdr:blipFill rotWithShape="1">
        <a:blip xmlns:r="http://schemas.openxmlformats.org/officeDocument/2006/relationships" r:embed="rId15"/>
        <a:srcRect t="1" r="78791" b="-8889"/>
        <a:stretch/>
      </xdr:blipFill>
      <xdr:spPr>
        <a:xfrm>
          <a:off x="5937250" y="6443131"/>
          <a:ext cx="1638300" cy="1247762"/>
        </a:xfrm>
        <a:prstGeom prst="rect">
          <a:avLst/>
        </a:prstGeom>
      </xdr:spPr>
    </xdr:pic>
    <xdr:clientData/>
  </xdr:twoCellAnchor>
  <xdr:twoCellAnchor editAs="oneCell">
    <xdr:from>
      <xdr:col>5</xdr:col>
      <xdr:colOff>169332</xdr:colOff>
      <xdr:row>41</xdr:row>
      <xdr:rowOff>148167</xdr:rowOff>
    </xdr:from>
    <xdr:to>
      <xdr:col>10</xdr:col>
      <xdr:colOff>571500</xdr:colOff>
      <xdr:row>47</xdr:row>
      <xdr:rowOff>11372</xdr:rowOff>
    </xdr:to>
    <xdr:pic>
      <xdr:nvPicPr>
        <xdr:cNvPr id="59" name="Gráfico 17">
          <a:extLst>
            <a:ext uri="{FF2B5EF4-FFF2-40B4-BE49-F238E27FC236}">
              <a16:creationId xmlns:a16="http://schemas.microsoft.com/office/drawing/2014/main" id="{35C4579B-4A38-4624-9A81-3F29E64B223D}"/>
            </a:ext>
          </a:extLst>
        </xdr:cNvPr>
        <xdr:cNvPicPr>
          <a:picLocks noChangeAspect="1"/>
        </xdr:cNvPicPr>
      </xdr:nvPicPr>
      <xdr:blipFill rotWithShape="1">
        <a:blip xmlns:r="http://schemas.openxmlformats.org/officeDocument/2006/relationships" r:embed="rId16">
          <a:extLst>
            <a:ext uri="{96DAC541-7B7A-43D3-8B79-37D633B846F1}">
              <asvg:svgBlip xmlns:asvg="http://schemas.microsoft.com/office/drawing/2016/SVG/main" r:embed="rId17"/>
            </a:ext>
          </a:extLst>
        </a:blip>
        <a:srcRect l="24104" t="3226"/>
        <a:stretch/>
      </xdr:blipFill>
      <xdr:spPr>
        <a:xfrm>
          <a:off x="4468282" y="7653867"/>
          <a:ext cx="4497918" cy="9681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10295</xdr:rowOff>
    </xdr:from>
    <xdr:to>
      <xdr:col>4</xdr:col>
      <xdr:colOff>2789670</xdr:colOff>
      <xdr:row>5</xdr:row>
      <xdr:rowOff>112067</xdr:rowOff>
    </xdr:to>
    <xdr:pic>
      <xdr:nvPicPr>
        <xdr:cNvPr id="3" name="Imagen 2">
          <a:extLst>
            <a:ext uri="{FF2B5EF4-FFF2-40B4-BE49-F238E27FC236}">
              <a16:creationId xmlns:a16="http://schemas.microsoft.com/office/drawing/2014/main" id="{329F217F-259D-4C83-B4F9-E4083D195A7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3599295" cy="848667"/>
        </a:xfrm>
        <a:prstGeom prst="rect">
          <a:avLst/>
        </a:prstGeom>
      </xdr:spPr>
    </xdr:pic>
    <xdr:clientData/>
  </xdr:twoCellAnchor>
  <xdr:twoCellAnchor editAs="oneCell">
    <xdr:from>
      <xdr:col>3</xdr:col>
      <xdr:colOff>232833</xdr:colOff>
      <xdr:row>5</xdr:row>
      <xdr:rowOff>169333</xdr:rowOff>
    </xdr:from>
    <xdr:to>
      <xdr:col>4</xdr:col>
      <xdr:colOff>2388658</xdr:colOff>
      <xdr:row>8</xdr:row>
      <xdr:rowOff>87021</xdr:rowOff>
    </xdr:to>
    <xdr:pic>
      <xdr:nvPicPr>
        <xdr:cNvPr id="4" name="Gráfico 17">
          <a:extLst>
            <a:ext uri="{FF2B5EF4-FFF2-40B4-BE49-F238E27FC236}">
              <a16:creationId xmlns:a16="http://schemas.microsoft.com/office/drawing/2014/main" id="{CA279C49-5EF4-4B43-A95A-577AE6C62FF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32833" y="905933"/>
          <a:ext cx="2965450" cy="466963"/>
        </a:xfrm>
        <a:prstGeom prst="rect">
          <a:avLst/>
        </a:prstGeom>
      </xdr:spPr>
    </xdr:pic>
    <xdr:clientData/>
  </xdr:twoCellAnchor>
  <xdr:twoCellAnchor editAs="oneCell">
    <xdr:from>
      <xdr:col>4</xdr:col>
      <xdr:colOff>2709334</xdr:colOff>
      <xdr:row>1</xdr:row>
      <xdr:rowOff>102659</xdr:rowOff>
    </xdr:from>
    <xdr:to>
      <xdr:col>5</xdr:col>
      <xdr:colOff>45508</xdr:colOff>
      <xdr:row>9</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EB4C92E1-3013-4C36-A480-4F9FCE1D7FE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515784" y="102659"/>
          <a:ext cx="1898649" cy="13705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57150</xdr:colOff>
      <xdr:row>23</xdr:row>
      <xdr:rowOff>0</xdr:rowOff>
    </xdr:to>
    <xdr:sp macro="" textlink="">
      <xdr:nvSpPr>
        <xdr:cNvPr id="2" name="AutoShape 3">
          <a:extLst>
            <a:ext uri="{FF2B5EF4-FFF2-40B4-BE49-F238E27FC236}">
              <a16:creationId xmlns:a16="http://schemas.microsoft.com/office/drawing/2014/main" id="{B2CC59DA-DC1F-4C76-AB35-9EDD5C75E335}"/>
            </a:ext>
          </a:extLst>
        </xdr:cNvPr>
        <xdr:cNvSpPr>
          <a:spLocks noChangeArrowheads="1"/>
        </xdr:cNvSpPr>
      </xdr:nvSpPr>
      <xdr:spPr bwMode="auto">
        <a:xfrm>
          <a:off x="508000" y="0"/>
          <a:ext cx="25965150" cy="123190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241255</xdr:colOff>
      <xdr:row>2</xdr:row>
      <xdr:rowOff>158985</xdr:rowOff>
    </xdr:to>
    <xdr:pic>
      <xdr:nvPicPr>
        <xdr:cNvPr id="3" name="Imagen 2">
          <a:extLst>
            <a:ext uri="{FF2B5EF4-FFF2-40B4-BE49-F238E27FC236}">
              <a16:creationId xmlns:a16="http://schemas.microsoft.com/office/drawing/2014/main" id="{25264931-8D81-4F14-A74B-44E63DECC662}"/>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3155" cy="603485"/>
        </a:xfrm>
        <a:prstGeom prst="rect">
          <a:avLst/>
        </a:prstGeom>
      </xdr:spPr>
    </xdr:pic>
    <xdr:clientData/>
  </xdr:twoCellAnchor>
  <xdr:twoCellAnchor editAs="oneCell">
    <xdr:from>
      <xdr:col>0</xdr:col>
      <xdr:colOff>127197</xdr:colOff>
      <xdr:row>2</xdr:row>
      <xdr:rowOff>230181</xdr:rowOff>
    </xdr:from>
    <xdr:to>
      <xdr:col>2</xdr:col>
      <xdr:colOff>141868</xdr:colOff>
      <xdr:row>2</xdr:row>
      <xdr:rowOff>635371</xdr:rowOff>
    </xdr:to>
    <xdr:pic>
      <xdr:nvPicPr>
        <xdr:cNvPr id="4" name="Gráfico 17">
          <a:extLst>
            <a:ext uri="{FF2B5EF4-FFF2-40B4-BE49-F238E27FC236}">
              <a16:creationId xmlns:a16="http://schemas.microsoft.com/office/drawing/2014/main" id="{9803E0FF-DE35-4DC9-BDD3-81ECCB32AD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7197" y="674681"/>
          <a:ext cx="2516571" cy="405190"/>
        </a:xfrm>
        <a:prstGeom prst="rect">
          <a:avLst/>
        </a:prstGeom>
      </xdr:spPr>
    </xdr:pic>
    <xdr:clientData/>
  </xdr:twoCellAnchor>
  <xdr:twoCellAnchor editAs="oneCell">
    <xdr:from>
      <xdr:col>2</xdr:col>
      <xdr:colOff>331932</xdr:colOff>
      <xdr:row>0</xdr:row>
      <xdr:rowOff>28863</xdr:rowOff>
    </xdr:from>
    <xdr:to>
      <xdr:col>2</xdr:col>
      <xdr:colOff>1901970</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5D3020D7-B108-4570-B026-820902D6FD81}"/>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33832" y="28863"/>
          <a:ext cx="1589088" cy="11937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19</xdr:row>
      <xdr:rowOff>0</xdr:rowOff>
    </xdr:to>
    <xdr:sp macro="" textlink="">
      <xdr:nvSpPr>
        <xdr:cNvPr id="2" name="AutoShape 3">
          <a:extLst>
            <a:ext uri="{FF2B5EF4-FFF2-40B4-BE49-F238E27FC236}">
              <a16:creationId xmlns:a16="http://schemas.microsoft.com/office/drawing/2014/main" id="{CECFE6DC-48C6-493A-8B44-3C912F7AA14C}"/>
            </a:ext>
          </a:extLst>
        </xdr:cNvPr>
        <xdr:cNvSpPr>
          <a:spLocks noChangeArrowheads="1"/>
        </xdr:cNvSpPr>
      </xdr:nvSpPr>
      <xdr:spPr bwMode="auto">
        <a:xfrm>
          <a:off x="508000" y="0"/>
          <a:ext cx="24339550" cy="73533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240242</xdr:colOff>
      <xdr:row>2</xdr:row>
      <xdr:rowOff>163137</xdr:rowOff>
    </xdr:to>
    <xdr:pic>
      <xdr:nvPicPr>
        <xdr:cNvPr id="3" name="Imagen 2">
          <a:extLst>
            <a:ext uri="{FF2B5EF4-FFF2-40B4-BE49-F238E27FC236}">
              <a16:creationId xmlns:a16="http://schemas.microsoft.com/office/drawing/2014/main" id="{FC74F728-5D78-4B06-8110-3B21032F3E1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5317" cy="610812"/>
        </a:xfrm>
        <a:prstGeom prst="rect">
          <a:avLst/>
        </a:prstGeom>
      </xdr:spPr>
    </xdr:pic>
    <xdr:clientData/>
  </xdr:twoCellAnchor>
  <xdr:twoCellAnchor editAs="oneCell">
    <xdr:from>
      <xdr:col>0</xdr:col>
      <xdr:colOff>126999</xdr:colOff>
      <xdr:row>2</xdr:row>
      <xdr:rowOff>238125</xdr:rowOff>
    </xdr:from>
    <xdr:to>
      <xdr:col>2</xdr:col>
      <xdr:colOff>142336</xdr:colOff>
      <xdr:row>2</xdr:row>
      <xdr:rowOff>646490</xdr:rowOff>
    </xdr:to>
    <xdr:pic>
      <xdr:nvPicPr>
        <xdr:cNvPr id="4" name="Gráfico 17">
          <a:extLst>
            <a:ext uri="{FF2B5EF4-FFF2-40B4-BE49-F238E27FC236}">
              <a16:creationId xmlns:a16="http://schemas.microsoft.com/office/drawing/2014/main" id="{2A09494C-A625-4C69-9626-DDDC01C0299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6999" y="682625"/>
          <a:ext cx="2520412" cy="408365"/>
        </a:xfrm>
        <a:prstGeom prst="rect">
          <a:avLst/>
        </a:prstGeom>
      </xdr:spPr>
    </xdr:pic>
    <xdr:clientData/>
  </xdr:twoCellAnchor>
  <xdr:twoCellAnchor editAs="oneCell">
    <xdr:from>
      <xdr:col>2</xdr:col>
      <xdr:colOff>354013</xdr:colOff>
      <xdr:row>0</xdr:row>
      <xdr:rowOff>39688</xdr:rowOff>
    </xdr:from>
    <xdr:to>
      <xdr:col>2</xdr:col>
      <xdr:colOff>1901826</xdr:colOff>
      <xdr:row>5</xdr:row>
      <xdr:rowOff>26458</xdr:rowOff>
    </xdr:to>
    <xdr:pic>
      <xdr:nvPicPr>
        <xdr:cNvPr id="5" name="Imagen 4">
          <a:hlinkClick xmlns:r="http://schemas.openxmlformats.org/officeDocument/2006/relationships" r:id="rId4"/>
          <a:extLst>
            <a:ext uri="{FF2B5EF4-FFF2-40B4-BE49-F238E27FC236}">
              <a16:creationId xmlns:a16="http://schemas.microsoft.com/office/drawing/2014/main" id="{4A0853C6-9914-4FE6-B9A7-77D5712F250C}"/>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5913" y="39688"/>
          <a:ext cx="1595438" cy="11900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21</xdr:row>
      <xdr:rowOff>0</xdr:rowOff>
    </xdr:to>
    <xdr:sp macro="" textlink="">
      <xdr:nvSpPr>
        <xdr:cNvPr id="2" name="AutoShape 3">
          <a:extLst>
            <a:ext uri="{FF2B5EF4-FFF2-40B4-BE49-F238E27FC236}">
              <a16:creationId xmlns:a16="http://schemas.microsoft.com/office/drawing/2014/main" id="{8884AA08-B8A3-4725-8D23-FDAFE9C20491}"/>
            </a:ext>
          </a:extLst>
        </xdr:cNvPr>
        <xdr:cNvSpPr>
          <a:spLocks noChangeArrowheads="1"/>
        </xdr:cNvSpPr>
      </xdr:nvSpPr>
      <xdr:spPr bwMode="auto">
        <a:xfrm>
          <a:off x="508000" y="0"/>
          <a:ext cx="23780750" cy="110426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240957</xdr:colOff>
      <xdr:row>2</xdr:row>
      <xdr:rowOff>159962</xdr:rowOff>
    </xdr:to>
    <xdr:pic>
      <xdr:nvPicPr>
        <xdr:cNvPr id="3" name="Imagen 2">
          <a:extLst>
            <a:ext uri="{FF2B5EF4-FFF2-40B4-BE49-F238E27FC236}">
              <a16:creationId xmlns:a16="http://schemas.microsoft.com/office/drawing/2014/main" id="{C3A1692D-FA35-4EF5-9E59-24FD37A2F51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2857" cy="604462"/>
        </a:xfrm>
        <a:prstGeom prst="rect">
          <a:avLst/>
        </a:prstGeom>
      </xdr:spPr>
    </xdr:pic>
    <xdr:clientData/>
  </xdr:twoCellAnchor>
  <xdr:twoCellAnchor editAs="oneCell">
    <xdr:from>
      <xdr:col>0</xdr:col>
      <xdr:colOff>156025</xdr:colOff>
      <xdr:row>2</xdr:row>
      <xdr:rowOff>260072</xdr:rowOff>
    </xdr:from>
    <xdr:to>
      <xdr:col>2</xdr:col>
      <xdr:colOff>167447</xdr:colOff>
      <xdr:row>2</xdr:row>
      <xdr:rowOff>658912</xdr:rowOff>
    </xdr:to>
    <xdr:pic>
      <xdr:nvPicPr>
        <xdr:cNvPr id="4" name="Gráfico 17">
          <a:extLst>
            <a:ext uri="{FF2B5EF4-FFF2-40B4-BE49-F238E27FC236}">
              <a16:creationId xmlns:a16="http://schemas.microsoft.com/office/drawing/2014/main" id="{FF2B0DD5-5F71-4529-A646-1EA4BA1A6C4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56025" y="704572"/>
          <a:ext cx="2513322" cy="398840"/>
        </a:xfrm>
        <a:prstGeom prst="rect">
          <a:avLst/>
        </a:prstGeom>
      </xdr:spPr>
    </xdr:pic>
    <xdr:clientData/>
  </xdr:twoCellAnchor>
  <xdr:twoCellAnchor editAs="oneCell">
    <xdr:from>
      <xdr:col>2</xdr:col>
      <xdr:colOff>395674</xdr:colOff>
      <xdr:row>0</xdr:row>
      <xdr:rowOff>67363</xdr:rowOff>
    </xdr:from>
    <xdr:to>
      <xdr:col>2</xdr:col>
      <xdr:colOff>1902212</xdr:colOff>
      <xdr:row>5</xdr:row>
      <xdr:rowOff>28919</xdr:rowOff>
    </xdr:to>
    <xdr:pic>
      <xdr:nvPicPr>
        <xdr:cNvPr id="5" name="Imagen 4">
          <a:hlinkClick xmlns:r="http://schemas.openxmlformats.org/officeDocument/2006/relationships" r:id="rId4"/>
          <a:extLst>
            <a:ext uri="{FF2B5EF4-FFF2-40B4-BE49-F238E27FC236}">
              <a16:creationId xmlns:a16="http://schemas.microsoft.com/office/drawing/2014/main" id="{7931056D-AE65-4237-8555-89A9DC5707FC}"/>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97574" y="67363"/>
          <a:ext cx="1573213" cy="1168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29</xdr:row>
      <xdr:rowOff>0</xdr:rowOff>
    </xdr:to>
    <xdr:sp macro="" textlink="">
      <xdr:nvSpPr>
        <xdr:cNvPr id="2" name="AutoShape 3">
          <a:extLst>
            <a:ext uri="{FF2B5EF4-FFF2-40B4-BE49-F238E27FC236}">
              <a16:creationId xmlns:a16="http://schemas.microsoft.com/office/drawing/2014/main" id="{7876342A-0C7C-433F-B448-47B666F3D56A}"/>
            </a:ext>
          </a:extLst>
        </xdr:cNvPr>
        <xdr:cNvSpPr>
          <a:spLocks noChangeArrowheads="1"/>
        </xdr:cNvSpPr>
      </xdr:nvSpPr>
      <xdr:spPr bwMode="auto">
        <a:xfrm>
          <a:off x="508000" y="0"/>
          <a:ext cx="21786850" cy="149034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32545</xdr:colOff>
      <xdr:row>0</xdr:row>
      <xdr:rowOff>0</xdr:rowOff>
    </xdr:from>
    <xdr:to>
      <xdr:col>1</xdr:col>
      <xdr:colOff>2259807</xdr:colOff>
      <xdr:row>2</xdr:row>
      <xdr:rowOff>169487</xdr:rowOff>
    </xdr:to>
    <xdr:pic>
      <xdr:nvPicPr>
        <xdr:cNvPr id="3" name="Imagen 2">
          <a:extLst>
            <a:ext uri="{FF2B5EF4-FFF2-40B4-BE49-F238E27FC236}">
              <a16:creationId xmlns:a16="http://schemas.microsoft.com/office/drawing/2014/main" id="{765516B0-F1BA-46E6-BA11-0C5DB3DF3D6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45" y="0"/>
          <a:ext cx="2747962" cy="601287"/>
        </a:xfrm>
        <a:prstGeom prst="rect">
          <a:avLst/>
        </a:prstGeom>
      </xdr:spPr>
    </xdr:pic>
    <xdr:clientData/>
  </xdr:twoCellAnchor>
  <xdr:twoCellAnchor editAs="oneCell">
    <xdr:from>
      <xdr:col>0</xdr:col>
      <xdr:colOff>161711</xdr:colOff>
      <xdr:row>2</xdr:row>
      <xdr:rowOff>190298</xdr:rowOff>
    </xdr:from>
    <xdr:to>
      <xdr:col>1</xdr:col>
      <xdr:colOff>2140342</xdr:colOff>
      <xdr:row>2</xdr:row>
      <xdr:rowOff>579827</xdr:rowOff>
    </xdr:to>
    <xdr:pic>
      <xdr:nvPicPr>
        <xdr:cNvPr id="4" name="Gráfico 17">
          <a:extLst>
            <a:ext uri="{FF2B5EF4-FFF2-40B4-BE49-F238E27FC236}">
              <a16:creationId xmlns:a16="http://schemas.microsoft.com/office/drawing/2014/main" id="{4779BEE3-476D-4A63-9CA0-9D465484474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61711" y="622098"/>
          <a:ext cx="2499331" cy="392704"/>
        </a:xfrm>
        <a:prstGeom prst="rect">
          <a:avLst/>
        </a:prstGeom>
      </xdr:spPr>
    </xdr:pic>
    <xdr:clientData/>
  </xdr:twoCellAnchor>
  <xdr:twoCellAnchor editAs="oneCell">
    <xdr:from>
      <xdr:col>2</xdr:col>
      <xdr:colOff>345281</xdr:colOff>
      <xdr:row>0</xdr:row>
      <xdr:rowOff>0</xdr:rowOff>
    </xdr:from>
    <xdr:to>
      <xdr:col>2</xdr:col>
      <xdr:colOff>1902619</xdr:colOff>
      <xdr:row>2</xdr:row>
      <xdr:rowOff>749452</xdr:rowOff>
    </xdr:to>
    <xdr:pic>
      <xdr:nvPicPr>
        <xdr:cNvPr id="5" name="Imagen 4">
          <a:hlinkClick xmlns:r="http://schemas.openxmlformats.org/officeDocument/2006/relationships" r:id="rId4"/>
          <a:extLst>
            <a:ext uri="{FF2B5EF4-FFF2-40B4-BE49-F238E27FC236}">
              <a16:creationId xmlns:a16="http://schemas.microsoft.com/office/drawing/2014/main" id="{29095BA1-001B-4DDC-935A-DD588D46E90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47181" y="0"/>
          <a:ext cx="1595438" cy="1184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57150</xdr:colOff>
      <xdr:row>45</xdr:row>
      <xdr:rowOff>0</xdr:rowOff>
    </xdr:to>
    <xdr:sp macro="" textlink="">
      <xdr:nvSpPr>
        <xdr:cNvPr id="2" name="AutoShape 3">
          <a:extLst>
            <a:ext uri="{FF2B5EF4-FFF2-40B4-BE49-F238E27FC236}">
              <a16:creationId xmlns:a16="http://schemas.microsoft.com/office/drawing/2014/main" id="{90C54270-30E5-4827-A78C-01F5EC651286}"/>
            </a:ext>
          </a:extLst>
        </xdr:cNvPr>
        <xdr:cNvSpPr>
          <a:spLocks noChangeArrowheads="1"/>
        </xdr:cNvSpPr>
      </xdr:nvSpPr>
      <xdr:spPr bwMode="auto">
        <a:xfrm>
          <a:off x="508000" y="0"/>
          <a:ext cx="25774650" cy="454152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20104</xdr:colOff>
      <xdr:row>0</xdr:row>
      <xdr:rowOff>0</xdr:rowOff>
    </xdr:from>
    <xdr:to>
      <xdr:col>2</xdr:col>
      <xdr:colOff>95530</xdr:colOff>
      <xdr:row>2</xdr:row>
      <xdr:rowOff>155199</xdr:rowOff>
    </xdr:to>
    <xdr:pic>
      <xdr:nvPicPr>
        <xdr:cNvPr id="3" name="Imagen 2" descr="Dibujo con letras&#10;&#10;Descripción generada automáticamente con confianza media">
          <a:extLst>
            <a:ext uri="{FF2B5EF4-FFF2-40B4-BE49-F238E27FC236}">
              <a16:creationId xmlns:a16="http://schemas.microsoft.com/office/drawing/2014/main" id="{C309D8EA-B8E3-4679-939A-24A6D3B47202}"/>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104" y="0"/>
          <a:ext cx="2732901" cy="599699"/>
        </a:xfrm>
        <a:prstGeom prst="rect">
          <a:avLst/>
        </a:prstGeom>
      </xdr:spPr>
    </xdr:pic>
    <xdr:clientData/>
  </xdr:twoCellAnchor>
  <xdr:twoCellAnchor editAs="oneCell">
    <xdr:from>
      <xdr:col>0</xdr:col>
      <xdr:colOff>160909</xdr:colOff>
      <xdr:row>2</xdr:row>
      <xdr:rowOff>243582</xdr:rowOff>
    </xdr:from>
    <xdr:to>
      <xdr:col>1</xdr:col>
      <xdr:colOff>2037172</xdr:colOff>
      <xdr:row>2</xdr:row>
      <xdr:rowOff>639461</xdr:rowOff>
    </xdr:to>
    <xdr:pic>
      <xdr:nvPicPr>
        <xdr:cNvPr id="4" name="Gráfico 17">
          <a:extLst>
            <a:ext uri="{FF2B5EF4-FFF2-40B4-BE49-F238E27FC236}">
              <a16:creationId xmlns:a16="http://schemas.microsoft.com/office/drawing/2014/main" id="{F83AB793-B87C-49CE-ACFB-71B1D4B41A2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60909" y="688082"/>
          <a:ext cx="2489038" cy="392704"/>
        </a:xfrm>
        <a:prstGeom prst="rect">
          <a:avLst/>
        </a:prstGeom>
      </xdr:spPr>
    </xdr:pic>
    <xdr:clientData/>
  </xdr:twoCellAnchor>
  <xdr:twoCellAnchor editAs="oneCell">
    <xdr:from>
      <xdr:col>2</xdr:col>
      <xdr:colOff>355410</xdr:colOff>
      <xdr:row>0</xdr:row>
      <xdr:rowOff>14217</xdr:rowOff>
    </xdr:from>
    <xdr:to>
      <xdr:col>2</xdr:col>
      <xdr:colOff>1992123</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3ED53EF4-C435-4A80-8EAA-84E6894F6B1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7310" y="14217"/>
          <a:ext cx="1592263" cy="11937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57150</xdr:colOff>
      <xdr:row>25</xdr:row>
      <xdr:rowOff>0</xdr:rowOff>
    </xdr:to>
    <xdr:sp macro="" textlink="">
      <xdr:nvSpPr>
        <xdr:cNvPr id="2" name="AutoShape 3">
          <a:extLst>
            <a:ext uri="{FF2B5EF4-FFF2-40B4-BE49-F238E27FC236}">
              <a16:creationId xmlns:a16="http://schemas.microsoft.com/office/drawing/2014/main" id="{A2DC7EE9-0971-4733-A7AF-8A2F1AEA18D0}"/>
            </a:ext>
          </a:extLst>
        </xdr:cNvPr>
        <xdr:cNvSpPr>
          <a:spLocks noChangeArrowheads="1"/>
        </xdr:cNvSpPr>
      </xdr:nvSpPr>
      <xdr:spPr bwMode="auto">
        <a:xfrm>
          <a:off x="508000" y="0"/>
          <a:ext cx="23780750" cy="154051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246780</xdr:colOff>
      <xdr:row>2</xdr:row>
      <xdr:rowOff>159962</xdr:rowOff>
    </xdr:to>
    <xdr:pic>
      <xdr:nvPicPr>
        <xdr:cNvPr id="3" name="Imagen 2">
          <a:extLst>
            <a:ext uri="{FF2B5EF4-FFF2-40B4-BE49-F238E27FC236}">
              <a16:creationId xmlns:a16="http://schemas.microsoft.com/office/drawing/2014/main" id="{BF0845CD-A861-4247-9425-5C4CA90E2BD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8680" cy="604462"/>
        </a:xfrm>
        <a:prstGeom prst="rect">
          <a:avLst/>
        </a:prstGeom>
      </xdr:spPr>
    </xdr:pic>
    <xdr:clientData/>
  </xdr:twoCellAnchor>
  <xdr:twoCellAnchor editAs="oneCell">
    <xdr:from>
      <xdr:col>0</xdr:col>
      <xdr:colOff>145848</xdr:colOff>
      <xdr:row>2</xdr:row>
      <xdr:rowOff>250100</xdr:rowOff>
    </xdr:from>
    <xdr:to>
      <xdr:col>2</xdr:col>
      <xdr:colOff>135907</xdr:colOff>
      <xdr:row>2</xdr:row>
      <xdr:rowOff>636454</xdr:rowOff>
    </xdr:to>
    <xdr:pic>
      <xdr:nvPicPr>
        <xdr:cNvPr id="4" name="Gráfico 17">
          <a:extLst>
            <a:ext uri="{FF2B5EF4-FFF2-40B4-BE49-F238E27FC236}">
              <a16:creationId xmlns:a16="http://schemas.microsoft.com/office/drawing/2014/main" id="{E17900CC-EEC5-4266-B356-F80C6FBA93C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45848" y="694600"/>
          <a:ext cx="2491959" cy="392704"/>
        </a:xfrm>
        <a:prstGeom prst="rect">
          <a:avLst/>
        </a:prstGeom>
      </xdr:spPr>
    </xdr:pic>
    <xdr:clientData/>
  </xdr:twoCellAnchor>
  <xdr:twoCellAnchor editAs="oneCell">
    <xdr:from>
      <xdr:col>2</xdr:col>
      <xdr:colOff>352295</xdr:colOff>
      <xdr:row>0</xdr:row>
      <xdr:rowOff>52192</xdr:rowOff>
    </xdr:from>
    <xdr:to>
      <xdr:col>3</xdr:col>
      <xdr:colOff>1458</xdr:colOff>
      <xdr:row>5</xdr:row>
      <xdr:rowOff>28716</xdr:rowOff>
    </xdr:to>
    <xdr:pic>
      <xdr:nvPicPr>
        <xdr:cNvPr id="5" name="Imagen 4">
          <a:hlinkClick xmlns:r="http://schemas.openxmlformats.org/officeDocument/2006/relationships" r:id="rId4"/>
          <a:extLst>
            <a:ext uri="{FF2B5EF4-FFF2-40B4-BE49-F238E27FC236}">
              <a16:creationId xmlns:a16="http://schemas.microsoft.com/office/drawing/2014/main" id="{272FBB09-05C1-4F22-80F1-EB415C46A1C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54195" y="52192"/>
          <a:ext cx="1592263" cy="1183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15875</xdr:colOff>
      <xdr:row>0</xdr:row>
      <xdr:rowOff>0</xdr:rowOff>
    </xdr:from>
    <xdr:to>
      <xdr:col>1</xdr:col>
      <xdr:colOff>84166</xdr:colOff>
      <xdr:row>1</xdr:row>
      <xdr:rowOff>266700</xdr:rowOff>
    </xdr:to>
    <xdr:pic>
      <xdr:nvPicPr>
        <xdr:cNvPr id="2" name="Imagen 1">
          <a:extLst>
            <a:ext uri="{FF2B5EF4-FFF2-40B4-BE49-F238E27FC236}">
              <a16:creationId xmlns:a16="http://schemas.microsoft.com/office/drawing/2014/main" id="{D19F4E91-7378-4885-B3AC-31D38C5DF32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75" y="0"/>
          <a:ext cx="3387436" cy="774700"/>
        </a:xfrm>
        <a:prstGeom prst="rect">
          <a:avLst/>
        </a:prstGeom>
      </xdr:spPr>
    </xdr:pic>
    <xdr:clientData/>
  </xdr:twoCellAnchor>
  <xdr:twoCellAnchor editAs="oneCell">
    <xdr:from>
      <xdr:col>0</xdr:col>
      <xdr:colOff>197908</xdr:colOff>
      <xdr:row>1</xdr:row>
      <xdr:rowOff>352425</xdr:rowOff>
    </xdr:from>
    <xdr:to>
      <xdr:col>1</xdr:col>
      <xdr:colOff>0</xdr:colOff>
      <xdr:row>2</xdr:row>
      <xdr:rowOff>314033</xdr:rowOff>
    </xdr:to>
    <xdr:pic>
      <xdr:nvPicPr>
        <xdr:cNvPr id="3" name="Gráfico 17">
          <a:extLst>
            <a:ext uri="{FF2B5EF4-FFF2-40B4-BE49-F238E27FC236}">
              <a16:creationId xmlns:a16="http://schemas.microsoft.com/office/drawing/2014/main" id="{ECCB6030-D002-43B4-A8A3-359876BA249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97908" y="860425"/>
          <a:ext cx="2983442" cy="479768"/>
        </a:xfrm>
        <a:prstGeom prst="rect">
          <a:avLst/>
        </a:prstGeom>
      </xdr:spPr>
    </xdr:pic>
    <xdr:clientData/>
  </xdr:twoCellAnchor>
  <xdr:twoCellAnchor editAs="oneCell">
    <xdr:from>
      <xdr:col>0</xdr:col>
      <xdr:colOff>3429000</xdr:colOff>
      <xdr:row>0</xdr:row>
      <xdr:rowOff>107950</xdr:rowOff>
    </xdr:from>
    <xdr:to>
      <xdr:col>1</xdr:col>
      <xdr:colOff>1820545</xdr:colOff>
      <xdr:row>2</xdr:row>
      <xdr:rowOff>439025</xdr:rowOff>
    </xdr:to>
    <xdr:pic>
      <xdr:nvPicPr>
        <xdr:cNvPr id="4" name="Imagen 3">
          <a:hlinkClick xmlns:r="http://schemas.openxmlformats.org/officeDocument/2006/relationships" r:id="rId4"/>
          <a:extLst>
            <a:ext uri="{FF2B5EF4-FFF2-40B4-BE49-F238E27FC236}">
              <a16:creationId xmlns:a16="http://schemas.microsoft.com/office/drawing/2014/main" id="{2B065B2B-247C-48E2-A8A7-F37386FA239E}"/>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321050" y="107950"/>
          <a:ext cx="1822450" cy="1350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17</xdr:col>
      <xdr:colOff>57150</xdr:colOff>
      <xdr:row>21</xdr:row>
      <xdr:rowOff>0</xdr:rowOff>
    </xdr:to>
    <xdr:sp macro="" textlink="">
      <xdr:nvSpPr>
        <xdr:cNvPr id="2" name="AutoShape 3">
          <a:extLst>
            <a:ext uri="{FF2B5EF4-FFF2-40B4-BE49-F238E27FC236}">
              <a16:creationId xmlns:a16="http://schemas.microsoft.com/office/drawing/2014/main" id="{C37E4A9D-09BB-41DB-AD79-F4A17CD653B5}"/>
            </a:ext>
          </a:extLst>
        </xdr:cNvPr>
        <xdr:cNvSpPr>
          <a:spLocks noChangeArrowheads="1"/>
        </xdr:cNvSpPr>
      </xdr:nvSpPr>
      <xdr:spPr bwMode="auto">
        <a:xfrm>
          <a:off x="508000" y="0"/>
          <a:ext cx="23025100" cy="676910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30079</xdr:colOff>
      <xdr:row>0</xdr:row>
      <xdr:rowOff>0</xdr:rowOff>
    </xdr:from>
    <xdr:to>
      <xdr:col>2</xdr:col>
      <xdr:colOff>278063</xdr:colOff>
      <xdr:row>2</xdr:row>
      <xdr:rowOff>163137</xdr:rowOff>
    </xdr:to>
    <xdr:pic>
      <xdr:nvPicPr>
        <xdr:cNvPr id="3" name="Imagen 2">
          <a:extLst>
            <a:ext uri="{FF2B5EF4-FFF2-40B4-BE49-F238E27FC236}">
              <a16:creationId xmlns:a16="http://schemas.microsoft.com/office/drawing/2014/main" id="{9DBF4385-2575-4B4D-9AA0-AF42F3DEE241}"/>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0079" y="0"/>
          <a:ext cx="2753059" cy="604462"/>
        </a:xfrm>
        <a:prstGeom prst="rect">
          <a:avLst/>
        </a:prstGeom>
      </xdr:spPr>
    </xdr:pic>
    <xdr:clientData/>
  </xdr:twoCellAnchor>
  <xdr:twoCellAnchor editAs="oneCell">
    <xdr:from>
      <xdr:col>0</xdr:col>
      <xdr:colOff>186880</xdr:colOff>
      <xdr:row>2</xdr:row>
      <xdr:rowOff>228098</xdr:rowOff>
    </xdr:from>
    <xdr:to>
      <xdr:col>2</xdr:col>
      <xdr:colOff>198781</xdr:colOff>
      <xdr:row>2</xdr:row>
      <xdr:rowOff>638794</xdr:rowOff>
    </xdr:to>
    <xdr:pic>
      <xdr:nvPicPr>
        <xdr:cNvPr id="4" name="Gráfico 17">
          <a:extLst>
            <a:ext uri="{FF2B5EF4-FFF2-40B4-BE49-F238E27FC236}">
              <a16:creationId xmlns:a16="http://schemas.microsoft.com/office/drawing/2014/main" id="{664660C9-CEA4-468C-B463-AD77812AE5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86880" y="672598"/>
          <a:ext cx="2510626" cy="407521"/>
        </a:xfrm>
        <a:prstGeom prst="rect">
          <a:avLst/>
        </a:prstGeom>
      </xdr:spPr>
    </xdr:pic>
    <xdr:clientData/>
  </xdr:twoCellAnchor>
  <xdr:twoCellAnchor editAs="oneCell">
    <xdr:from>
      <xdr:col>2</xdr:col>
      <xdr:colOff>664243</xdr:colOff>
      <xdr:row>0</xdr:row>
      <xdr:rowOff>25066</xdr:rowOff>
    </xdr:from>
    <xdr:to>
      <xdr:col>2</xdr:col>
      <xdr:colOff>2256506</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629B9E3C-8910-486F-984F-3DC509AF7DB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66143" y="25066"/>
          <a:ext cx="1589088" cy="11814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57150</xdr:colOff>
      <xdr:row>27</xdr:row>
      <xdr:rowOff>0</xdr:rowOff>
    </xdr:to>
    <xdr:sp macro="" textlink="">
      <xdr:nvSpPr>
        <xdr:cNvPr id="2" name="AutoShape 3">
          <a:extLst>
            <a:ext uri="{FF2B5EF4-FFF2-40B4-BE49-F238E27FC236}">
              <a16:creationId xmlns:a16="http://schemas.microsoft.com/office/drawing/2014/main" id="{C1ECCAE1-4E5C-4032-A4B0-402FE0C1FBDD}"/>
            </a:ext>
          </a:extLst>
        </xdr:cNvPr>
        <xdr:cNvSpPr>
          <a:spLocks noChangeArrowheads="1"/>
        </xdr:cNvSpPr>
      </xdr:nvSpPr>
      <xdr:spPr bwMode="auto">
        <a:xfrm>
          <a:off x="508000" y="0"/>
          <a:ext cx="35896550" cy="114109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247067</xdr:colOff>
      <xdr:row>2</xdr:row>
      <xdr:rowOff>163137</xdr:rowOff>
    </xdr:to>
    <xdr:pic>
      <xdr:nvPicPr>
        <xdr:cNvPr id="3" name="Imagen 2">
          <a:extLst>
            <a:ext uri="{FF2B5EF4-FFF2-40B4-BE49-F238E27FC236}">
              <a16:creationId xmlns:a16="http://schemas.microsoft.com/office/drawing/2014/main" id="{EACDF5BC-B05F-403B-96AC-52F0B42EBB6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8967" cy="610812"/>
        </a:xfrm>
        <a:prstGeom prst="rect">
          <a:avLst/>
        </a:prstGeom>
      </xdr:spPr>
    </xdr:pic>
    <xdr:clientData/>
  </xdr:twoCellAnchor>
  <xdr:twoCellAnchor editAs="oneCell">
    <xdr:from>
      <xdr:col>0</xdr:col>
      <xdr:colOff>133504</xdr:colOff>
      <xdr:row>2</xdr:row>
      <xdr:rowOff>234951</xdr:rowOff>
    </xdr:from>
    <xdr:to>
      <xdr:col>2</xdr:col>
      <xdr:colOff>139858</xdr:colOff>
      <xdr:row>2</xdr:row>
      <xdr:rowOff>648822</xdr:rowOff>
    </xdr:to>
    <xdr:pic>
      <xdr:nvPicPr>
        <xdr:cNvPr id="4" name="Gráfico 17">
          <a:extLst>
            <a:ext uri="{FF2B5EF4-FFF2-40B4-BE49-F238E27FC236}">
              <a16:creationId xmlns:a16="http://schemas.microsoft.com/office/drawing/2014/main" id="{621D923D-B2BE-4EC8-A0D8-E31E697EC86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33504" y="679451"/>
          <a:ext cx="2511429" cy="413871"/>
        </a:xfrm>
        <a:prstGeom prst="rect">
          <a:avLst/>
        </a:prstGeom>
      </xdr:spPr>
    </xdr:pic>
    <xdr:clientData/>
  </xdr:twoCellAnchor>
  <xdr:twoCellAnchor editAs="oneCell">
    <xdr:from>
      <xdr:col>2</xdr:col>
      <xdr:colOff>317370</xdr:colOff>
      <xdr:row>0</xdr:row>
      <xdr:rowOff>58318</xdr:rowOff>
    </xdr:from>
    <xdr:to>
      <xdr:col>2</xdr:col>
      <xdr:colOff>1896933</xdr:colOff>
      <xdr:row>5</xdr:row>
      <xdr:rowOff>38878</xdr:rowOff>
    </xdr:to>
    <xdr:pic>
      <xdr:nvPicPr>
        <xdr:cNvPr id="5" name="Imagen 4">
          <a:hlinkClick xmlns:r="http://schemas.openxmlformats.org/officeDocument/2006/relationships" r:id="rId4"/>
          <a:extLst>
            <a:ext uri="{FF2B5EF4-FFF2-40B4-BE49-F238E27FC236}">
              <a16:creationId xmlns:a16="http://schemas.microsoft.com/office/drawing/2014/main" id="{62F67A45-8425-4523-995C-3DD2C1FC5963}"/>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19270" y="58318"/>
          <a:ext cx="1576388" cy="11870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12269</xdr:colOff>
      <xdr:row>2</xdr:row>
      <xdr:rowOff>159962</xdr:rowOff>
    </xdr:to>
    <xdr:pic>
      <xdr:nvPicPr>
        <xdr:cNvPr id="2" name="Imagen 1">
          <a:extLst>
            <a:ext uri="{FF2B5EF4-FFF2-40B4-BE49-F238E27FC236}">
              <a16:creationId xmlns:a16="http://schemas.microsoft.com/office/drawing/2014/main" id="{3D6EB9A7-672F-4D08-A093-E7DA59C5816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42769" cy="604462"/>
        </a:xfrm>
        <a:prstGeom prst="rect">
          <a:avLst/>
        </a:prstGeom>
      </xdr:spPr>
    </xdr:pic>
    <xdr:clientData/>
  </xdr:twoCellAnchor>
  <xdr:twoCellAnchor editAs="oneCell">
    <xdr:from>
      <xdr:col>0</xdr:col>
      <xdr:colOff>122910</xdr:colOff>
      <xdr:row>2</xdr:row>
      <xdr:rowOff>248708</xdr:rowOff>
    </xdr:from>
    <xdr:to>
      <xdr:col>1</xdr:col>
      <xdr:colOff>2028657</xdr:colOff>
      <xdr:row>2</xdr:row>
      <xdr:rowOff>656229</xdr:rowOff>
    </xdr:to>
    <xdr:pic>
      <xdr:nvPicPr>
        <xdr:cNvPr id="3" name="Gráfico 17">
          <a:extLst>
            <a:ext uri="{FF2B5EF4-FFF2-40B4-BE49-F238E27FC236}">
              <a16:creationId xmlns:a16="http://schemas.microsoft.com/office/drawing/2014/main" id="{2D85C856-F4D1-466D-B41D-88AA719D0B0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2910" y="693208"/>
          <a:ext cx="2508997" cy="407521"/>
        </a:xfrm>
        <a:prstGeom prst="rect">
          <a:avLst/>
        </a:prstGeom>
      </xdr:spPr>
    </xdr:pic>
    <xdr:clientData/>
  </xdr:twoCellAnchor>
  <xdr:twoCellAnchor editAs="oneCell">
    <xdr:from>
      <xdr:col>2</xdr:col>
      <xdr:colOff>290594</xdr:colOff>
      <xdr:row>0</xdr:row>
      <xdr:rowOff>32287</xdr:rowOff>
    </xdr:from>
    <xdr:to>
      <xdr:col>2</xdr:col>
      <xdr:colOff>1873332</xdr:colOff>
      <xdr:row>5</xdr:row>
      <xdr:rowOff>20990</xdr:rowOff>
    </xdr:to>
    <xdr:pic>
      <xdr:nvPicPr>
        <xdr:cNvPr id="4" name="Imagen 3">
          <a:hlinkClick xmlns:r="http://schemas.openxmlformats.org/officeDocument/2006/relationships" r:id="rId4"/>
          <a:extLst>
            <a:ext uri="{FF2B5EF4-FFF2-40B4-BE49-F238E27FC236}">
              <a16:creationId xmlns:a16="http://schemas.microsoft.com/office/drawing/2014/main" id="{A3079134-5873-46B7-A881-4D784318789E}"/>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1094" y="32287"/>
          <a:ext cx="1589088" cy="11952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57150</xdr:colOff>
      <xdr:row>27</xdr:row>
      <xdr:rowOff>0</xdr:rowOff>
    </xdr:to>
    <xdr:sp macro="" textlink="">
      <xdr:nvSpPr>
        <xdr:cNvPr id="2" name="AutoShape 3">
          <a:extLst>
            <a:ext uri="{FF2B5EF4-FFF2-40B4-BE49-F238E27FC236}">
              <a16:creationId xmlns:a16="http://schemas.microsoft.com/office/drawing/2014/main" id="{06BC396D-BC19-4059-8F77-8A16AB5A3F13}"/>
            </a:ext>
          </a:extLst>
        </xdr:cNvPr>
        <xdr:cNvSpPr>
          <a:spLocks noChangeArrowheads="1"/>
        </xdr:cNvSpPr>
      </xdr:nvSpPr>
      <xdr:spPr bwMode="auto">
        <a:xfrm>
          <a:off x="508000" y="0"/>
          <a:ext cx="26333450" cy="9975850"/>
        </a:xfrm>
        <a:custGeom>
          <a:avLst/>
          <a:gdLst/>
          <a:ahLst/>
          <a:cxnLst/>
          <a:rect l="0" t="0" r="0" b="0"/>
          <a:pathLst/>
        </a:custGeom>
        <a:solidFill>
          <a:srgbClr val="FFFFFF"/>
        </a:solidFill>
        <a:ln w="9525">
          <a:solidFill>
            <a:srgbClr val="000000"/>
          </a:solidFill>
          <a:round/>
          <a:headEnd/>
          <a:tailEnd/>
        </a:ln>
      </xdr:spPr>
    </xdr:sp>
    <xdr:clientData fLocksWithSheet="0"/>
  </xdr:twoCellAnchor>
  <xdr:twoCellAnchor editAs="oneCell">
    <xdr:from>
      <xdr:col>0</xdr:col>
      <xdr:colOff>0</xdr:colOff>
      <xdr:row>0</xdr:row>
      <xdr:rowOff>0</xdr:rowOff>
    </xdr:from>
    <xdr:to>
      <xdr:col>2</xdr:col>
      <xdr:colOff>240684</xdr:colOff>
      <xdr:row>2</xdr:row>
      <xdr:rowOff>150437</xdr:rowOff>
    </xdr:to>
    <xdr:pic>
      <xdr:nvPicPr>
        <xdr:cNvPr id="3" name="Imagen 2">
          <a:extLst>
            <a:ext uri="{FF2B5EF4-FFF2-40B4-BE49-F238E27FC236}">
              <a16:creationId xmlns:a16="http://schemas.microsoft.com/office/drawing/2014/main" id="{829433A8-8952-4F04-8351-EFCA6EE937F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736234" cy="594937"/>
        </a:xfrm>
        <a:prstGeom prst="rect">
          <a:avLst/>
        </a:prstGeom>
      </xdr:spPr>
    </xdr:pic>
    <xdr:clientData/>
  </xdr:twoCellAnchor>
  <xdr:twoCellAnchor editAs="oneCell">
    <xdr:from>
      <xdr:col>0</xdr:col>
      <xdr:colOff>133445</xdr:colOff>
      <xdr:row>2</xdr:row>
      <xdr:rowOff>256076</xdr:rowOff>
    </xdr:from>
    <xdr:to>
      <xdr:col>2</xdr:col>
      <xdr:colOff>135274</xdr:colOff>
      <xdr:row>2</xdr:row>
      <xdr:rowOff>663597</xdr:rowOff>
    </xdr:to>
    <xdr:pic>
      <xdr:nvPicPr>
        <xdr:cNvPr id="4" name="Gráfico 17">
          <a:extLst>
            <a:ext uri="{FF2B5EF4-FFF2-40B4-BE49-F238E27FC236}">
              <a16:creationId xmlns:a16="http://schemas.microsoft.com/office/drawing/2014/main" id="{15DDB4F4-D034-4F5F-AB27-AC0B1E05B8A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33445" y="700576"/>
          <a:ext cx="2503729" cy="407521"/>
        </a:xfrm>
        <a:prstGeom prst="rect">
          <a:avLst/>
        </a:prstGeom>
      </xdr:spPr>
    </xdr:pic>
    <xdr:clientData/>
  </xdr:twoCellAnchor>
  <xdr:twoCellAnchor editAs="oneCell">
    <xdr:from>
      <xdr:col>2</xdr:col>
      <xdr:colOff>315936</xdr:colOff>
      <xdr:row>0</xdr:row>
      <xdr:rowOff>52175</xdr:rowOff>
    </xdr:from>
    <xdr:to>
      <xdr:col>2</xdr:col>
      <xdr:colOff>1901849</xdr:colOff>
      <xdr:row>3</xdr:row>
      <xdr:rowOff>0</xdr:rowOff>
    </xdr:to>
    <xdr:pic>
      <xdr:nvPicPr>
        <xdr:cNvPr id="5" name="Imagen 4">
          <a:hlinkClick xmlns:r="http://schemas.openxmlformats.org/officeDocument/2006/relationships" r:id="rId4"/>
          <a:extLst>
            <a:ext uri="{FF2B5EF4-FFF2-40B4-BE49-F238E27FC236}">
              <a16:creationId xmlns:a16="http://schemas.microsoft.com/office/drawing/2014/main" id="{A9D16108-BEBF-41AF-86AE-C5B181B282E5}"/>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2817836" y="52175"/>
          <a:ext cx="1585913" cy="1168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TEAGAGAA/AppData/Local/Microsoft/Windows/Temporary%20Internet%20Files/Content.Outlook/AGGR6G27/Formato%20Racionalizaci&#243;n%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ssaldar/AppData/Local/Microsoft/Windows/Temporary%20Internet%20Files/Content.Outlook/SH3F9M4X/Copia%20de%20Copia%20de%20Copia%20de%20Est%201%204%20Fr%2010%20Ficha%20Tecnica%20de%20Indicador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C_Indicadores/A&#241;o%202017/MAPAS/Procedimientos/Mapa%20Corporativo/Procedimiento%20c&#225;lculo%20indicadores%20Mapa%20Corpora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
      <sheetName val="FICHA_DEL_INDICADOR"/>
      <sheetName val="Listas"/>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8"/>
      <sheetName val="9"/>
      <sheetName val="10"/>
      <sheetName val="11"/>
      <sheetName val="12"/>
      <sheetName val="13"/>
      <sheetName val="14"/>
      <sheetName val="15"/>
      <sheetName val="16"/>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Listas"/>
      <sheetName val="referencia 2018"/>
      <sheetName val="Control Requerimientos"/>
      <sheetName val="plan 2018_1"/>
      <sheetName val=" Presentaciones PAA"/>
      <sheetName val="Filtros Conceptos"/>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person displayName="YANET ROJAS HERNANDEZ" id="{3DFCE553-025B-4892-ACA9-84C273EF2F2D}" userId="S::YANET.ROJAS@PREVISORA.GOV.CO::120a42c2-46ed-4c85-9942-30588e7ff061" providerId="AD"/>
  <person displayName="LEYDI PAOLA PADILLA TEQUIA" id="{7A0EA9D2-6F17-41D4-8B9F-E563521B5FE4}" userId="S::LEYDI.PADILLA@PREVISORA.GOV.CO::974a4c6b-0938-40ec-84d4-71eb8cb85931" providerId="AD"/>
  <person displayName="SANDRA JANET RAMIREZ SAYAGO" id="{5F6DE601-BBC3-4755-8571-5D1765B6FF68}" userId="S::SANDRAJ.RAMIREZ@PREVISORA.GOV.CO::a3d9a81f-c13c-47a8-a51b-8c07268a5ed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28" dT="2024-01-19T21:37:32.10" personId="{7A0EA9D2-6F17-41D4-8B9F-E563521B5FE4}" id="{8CEB15D6-7383-4459-A329-285A94C6AEDA}">
    <text>Audatex?</text>
  </threadedComment>
  <threadedComment ref="J31" dT="2024-01-19T21:38:35.15" personId="{7A0EA9D2-6F17-41D4-8B9F-E563521B5FE4}" id="{3BB86032-391F-4F9B-AC34-CA47CD490B6A}">
    <text>Son los 12 contratos de ajustadores?</text>
  </threadedComment>
  <threadedComment ref="J45" dT="2024-01-23T17:49:26.98" personId="{5F6DE601-BBC3-4755-8571-5D1765B6FF68}" id="{B0799338-7960-460E-806F-34EC23FB7FFC}">
    <text>Enviaron como aceptación de oferta</text>
  </threadedComment>
  <threadedComment ref="J47" dT="2024-01-19T21:36:30.04" personId="{7A0EA9D2-6F17-41D4-8B9F-E563521B5FE4}" id="{E11FA09A-E252-4083-9487-20A447FAF0EF}">
    <text xml:space="preserve">No es claro porq es directa
</text>
  </threadedComment>
  <threadedComment ref="I97" dT="2024-01-19T21:47:21.08" personId="{7A0EA9D2-6F17-41D4-8B9F-E563521B5FE4}" id="{643A0692-9DE1-4323-B500-C4BC0E9C4E6E}">
    <text>No estimado</text>
  </threadedComment>
  <threadedComment ref="K225" dT="2023-12-05T15:04:06.52" personId="{3DFCE553-025B-4892-ACA9-84C273EF2F2D}" id="{6024C6F9-4370-4E33-A043-40E60DA1EF3A}">
    <text>El presupuesto sale de CX</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6D2E-E69E-417A-B54E-63C1C48A81B1}">
  <dimension ref="A1:XFC80"/>
  <sheetViews>
    <sheetView showGridLines="0" view="pageLayout" zoomScale="40" zoomScaleNormal="30" zoomScaleSheetLayoutView="40" zoomScalePageLayoutView="40" workbookViewId="0">
      <selection activeCell="I83" sqref="I83"/>
    </sheetView>
  </sheetViews>
  <sheetFormatPr baseColWidth="10" defaultColWidth="0" defaultRowHeight="14.5" x14ac:dyDescent="0.35"/>
  <cols>
    <col min="1" max="1" width="14.453125" style="1" customWidth="1"/>
    <col min="2" max="16" width="11.453125" style="1" customWidth="1"/>
    <col min="17" max="4945" width="0" style="1" hidden="1" customWidth="1"/>
    <col min="4946" max="15759" width="11.453125" style="1" hidden="1"/>
    <col min="15760" max="16382" width="0" style="1" hidden="1"/>
    <col min="16383" max="16383" width="12.453125" style="1" hidden="1"/>
    <col min="16384" max="16384" width="48.1796875" style="1" hidden="1" customWidth="1"/>
  </cols>
  <sheetData>
    <row r="1" spans="14:14" ht="4.5" customHeight="1" x14ac:dyDescent="0.35"/>
    <row r="7" spans="14:14" x14ac:dyDescent="0.35">
      <c r="N7" s="1" t="s">
        <v>0</v>
      </c>
    </row>
    <row r="18" spans="8:8" ht="21" x14ac:dyDescent="0.5">
      <c r="H18" s="2"/>
    </row>
    <row r="41" spans="1:11" x14ac:dyDescent="0.35">
      <c r="A41" s="3"/>
      <c r="B41" s="3"/>
      <c r="C41" s="3"/>
      <c r="D41" s="3"/>
      <c r="E41" s="3"/>
      <c r="F41" s="3"/>
      <c r="G41" s="3"/>
      <c r="H41" s="3"/>
      <c r="I41" s="3"/>
      <c r="J41" s="3"/>
      <c r="K41" s="3"/>
    </row>
    <row r="42" spans="1:11" x14ac:dyDescent="0.35">
      <c r="A42" s="3"/>
      <c r="B42" s="3"/>
      <c r="C42" s="3"/>
      <c r="D42" s="3"/>
      <c r="E42" s="3"/>
      <c r="F42" s="3"/>
      <c r="G42" s="3"/>
      <c r="H42" s="3"/>
      <c r="I42" s="3"/>
      <c r="J42" s="3"/>
      <c r="K42" s="3"/>
    </row>
    <row r="57" hidden="1" x14ac:dyDescent="0.35"/>
    <row r="75" spans="1:16" ht="26" x14ac:dyDescent="0.6">
      <c r="A75" s="244" t="s">
        <v>1</v>
      </c>
      <c r="B75" s="244"/>
      <c r="C75" s="244"/>
      <c r="D75" s="244"/>
      <c r="E75" s="244"/>
      <c r="F75" s="244"/>
      <c r="G75" s="244"/>
      <c r="H75" s="244"/>
      <c r="I75" s="244"/>
      <c r="J75" s="244"/>
      <c r="K75" s="244"/>
      <c r="L75" s="244"/>
      <c r="M75" s="244"/>
      <c r="N75" s="244"/>
      <c r="O75" s="244"/>
      <c r="P75" s="244"/>
    </row>
    <row r="76" spans="1:16" ht="14.9" customHeight="1" x14ac:dyDescent="0.35">
      <c r="A76" s="245" t="s">
        <v>2</v>
      </c>
      <c r="B76" s="246"/>
      <c r="C76" s="246"/>
      <c r="D76" s="246"/>
      <c r="E76" s="246"/>
      <c r="F76" s="246"/>
      <c r="G76" s="246"/>
      <c r="H76" s="246"/>
      <c r="I76" s="246"/>
      <c r="J76" s="246"/>
      <c r="K76" s="246"/>
      <c r="L76" s="246"/>
      <c r="M76" s="246"/>
      <c r="N76" s="246"/>
      <c r="O76" s="246"/>
      <c r="P76" s="247"/>
    </row>
    <row r="77" spans="1:16" ht="15" customHeight="1" x14ac:dyDescent="0.35">
      <c r="A77" s="248"/>
      <c r="B77" s="249"/>
      <c r="C77" s="249"/>
      <c r="D77" s="249"/>
      <c r="E77" s="249"/>
      <c r="F77" s="249"/>
      <c r="G77" s="249"/>
      <c r="H77" s="249"/>
      <c r="I77" s="249"/>
      <c r="J77" s="249"/>
      <c r="K77" s="249"/>
      <c r="L77" s="249"/>
      <c r="M77" s="249"/>
      <c r="N77" s="249"/>
      <c r="O77" s="249"/>
      <c r="P77" s="250"/>
    </row>
    <row r="78" spans="1:16" ht="44.15" customHeight="1" x14ac:dyDescent="0.35">
      <c r="A78" s="4" t="s">
        <v>3</v>
      </c>
      <c r="B78" s="251" t="s">
        <v>4</v>
      </c>
      <c r="C78" s="252"/>
      <c r="D78" s="252"/>
      <c r="E78" s="252"/>
      <c r="F78" s="253"/>
      <c r="G78" s="251" t="s">
        <v>5</v>
      </c>
      <c r="H78" s="252"/>
      <c r="I78" s="252"/>
      <c r="J78" s="252"/>
      <c r="K78" s="252"/>
      <c r="L78" s="252"/>
      <c r="M78" s="252"/>
      <c r="N78" s="252"/>
      <c r="O78" s="252"/>
      <c r="P78" s="253"/>
    </row>
    <row r="79" spans="1:16" ht="65.150000000000006" customHeight="1" x14ac:dyDescent="0.35">
      <c r="A79" s="240">
        <v>1</v>
      </c>
      <c r="B79" s="254">
        <v>45322</v>
      </c>
      <c r="C79" s="255"/>
      <c r="D79" s="255"/>
      <c r="E79" s="255"/>
      <c r="F79" s="256"/>
      <c r="G79" s="257" t="s">
        <v>6</v>
      </c>
      <c r="H79" s="258"/>
      <c r="I79" s="258"/>
      <c r="J79" s="258"/>
      <c r="K79" s="258"/>
      <c r="L79" s="258"/>
      <c r="M79" s="258"/>
      <c r="N79" s="258"/>
      <c r="O79" s="258"/>
      <c r="P79" s="259"/>
    </row>
    <row r="80" spans="1:16" ht="86.9" customHeight="1" x14ac:dyDescent="0.35">
      <c r="A80" s="241">
        <v>2</v>
      </c>
      <c r="B80" s="242">
        <v>45440</v>
      </c>
      <c r="C80" s="242"/>
      <c r="D80" s="242"/>
      <c r="E80" s="242"/>
      <c r="F80" s="242"/>
      <c r="G80" s="243" t="s">
        <v>7</v>
      </c>
      <c r="H80" s="243"/>
      <c r="I80" s="243"/>
      <c r="J80" s="243"/>
      <c r="K80" s="243"/>
      <c r="L80" s="243"/>
      <c r="M80" s="243"/>
      <c r="N80" s="243"/>
      <c r="O80" s="243"/>
      <c r="P80" s="243"/>
    </row>
  </sheetData>
  <sheetProtection autoFilter="0"/>
  <mergeCells count="8">
    <mergeCell ref="B80:F80"/>
    <mergeCell ref="G80:P80"/>
    <mergeCell ref="A75:P75"/>
    <mergeCell ref="A76:P77"/>
    <mergeCell ref="B78:F78"/>
    <mergeCell ref="G78:P78"/>
    <mergeCell ref="B79:F79"/>
    <mergeCell ref="G79:P79"/>
  </mergeCells>
  <pageMargins left="0.7" right="0.7" top="0.75" bottom="0.75" header="0.3" footer="0.3"/>
  <pageSetup scale="48" orientation="portrait" r:id="rId1"/>
  <headerFooter>
    <oddHeader>&amp;C&amp;G</oddHeader>
    <oddFooter>&amp;C_x000D_&amp;1#&amp;"Calibri"&amp;10&amp;K008000 Información Pública - La Previsora S.A. Compañía de Seguros</oddFooter>
  </headerFooter>
  <colBreaks count="1" manualBreakCount="1">
    <brk id="11939" max="1048575" man="1"/>
  </colBreaks>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75AA-2A07-4183-81DF-61611E61DE5A}">
  <dimension ref="A1:AK130"/>
  <sheetViews>
    <sheetView topLeftCell="K2" zoomScale="40" zoomScaleNormal="40" workbookViewId="0">
      <selection activeCell="O22" sqref="O22:O23"/>
    </sheetView>
  </sheetViews>
  <sheetFormatPr baseColWidth="10" defaultColWidth="11.453125" defaultRowHeight="14.5" x14ac:dyDescent="0.35"/>
  <cols>
    <col min="1" max="1" width="14.54296875" style="1" hidden="1" customWidth="1"/>
    <col min="2" max="3" width="30.453125" style="1" hidden="1" customWidth="1"/>
    <col min="4" max="4" width="11.54296875" style="1" customWidth="1"/>
    <col min="5" max="5" width="65.453125" style="1" customWidth="1"/>
    <col min="6" max="7" width="59.54296875" style="1" customWidth="1"/>
    <col min="8" max="8" width="37.54296875" style="1" customWidth="1"/>
    <col min="9" max="9" width="33.81640625" style="1" customWidth="1"/>
    <col min="10" max="10" width="41.453125" style="1" customWidth="1"/>
    <col min="11" max="11" width="38.54296875" style="1" customWidth="1"/>
    <col min="12" max="12" width="43.54296875" style="1" customWidth="1"/>
    <col min="13" max="13" width="52.54296875" style="1" customWidth="1"/>
    <col min="14" max="15" width="30.453125" style="1" customWidth="1"/>
    <col min="16" max="17" width="25.54296875" style="1" customWidth="1"/>
    <col min="18" max="18" width="26.54296875" style="1" customWidth="1"/>
    <col min="19" max="19" width="20.453125" style="1" customWidth="1"/>
    <col min="20" max="20" width="15.453125" style="1" customWidth="1"/>
    <col min="21" max="32" width="8.453125" style="1" customWidth="1"/>
    <col min="33" max="35" width="41.81640625" style="1" customWidth="1"/>
    <col min="36" max="16384" width="11.453125" style="1"/>
  </cols>
  <sheetData>
    <row r="1" spans="1:37" ht="14.9" hidden="1" customHeight="1" x14ac:dyDescent="0.35">
      <c r="A1" s="197"/>
      <c r="B1" s="198"/>
      <c r="C1" s="198"/>
      <c r="D1" s="198"/>
      <c r="E1" s="198"/>
      <c r="F1" s="221" t="s">
        <v>1604</v>
      </c>
      <c r="G1" s="221"/>
      <c r="H1" s="221"/>
      <c r="I1" s="221"/>
      <c r="J1" s="221"/>
      <c r="K1" s="221"/>
      <c r="L1" s="221"/>
      <c r="M1" s="221"/>
      <c r="N1" s="221"/>
      <c r="O1" s="221"/>
      <c r="P1" s="221"/>
      <c r="Q1" s="221"/>
      <c r="R1" s="440" t="s">
        <v>23</v>
      </c>
      <c r="S1" s="441"/>
      <c r="T1" s="441"/>
      <c r="U1" s="441"/>
      <c r="V1" s="441"/>
      <c r="W1" s="441"/>
      <c r="X1" s="441"/>
      <c r="Y1" s="441"/>
      <c r="Z1" s="441"/>
      <c r="AA1" s="441"/>
      <c r="AB1" s="441"/>
      <c r="AC1" s="441"/>
      <c r="AD1" s="441"/>
      <c r="AE1" s="441"/>
      <c r="AF1" s="441"/>
      <c r="AG1" s="442"/>
      <c r="AH1" s="235"/>
      <c r="AI1" s="235"/>
      <c r="AJ1" s="199"/>
      <c r="AK1" s="199"/>
    </row>
    <row r="2" spans="1:37" ht="14.9" customHeight="1" x14ac:dyDescent="0.35">
      <c r="A2" s="594"/>
      <c r="B2" s="595"/>
      <c r="C2" s="595"/>
      <c r="D2" s="595"/>
      <c r="E2" s="595"/>
      <c r="F2" s="348" t="s">
        <v>1604</v>
      </c>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199"/>
      <c r="AK2" s="199"/>
    </row>
    <row r="3" spans="1:37" ht="14.9" customHeight="1" x14ac:dyDescent="0.35">
      <c r="A3" s="594"/>
      <c r="B3" s="595"/>
      <c r="C3" s="595"/>
      <c r="D3" s="595"/>
      <c r="E3" s="595"/>
      <c r="F3" s="348"/>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199"/>
      <c r="AK3" s="199"/>
    </row>
    <row r="4" spans="1:37" ht="14.9" customHeight="1" x14ac:dyDescent="0.35">
      <c r="A4" s="594"/>
      <c r="B4" s="595"/>
      <c r="C4" s="595"/>
      <c r="D4" s="595"/>
      <c r="E4" s="595"/>
      <c r="F4" s="348"/>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199"/>
      <c r="AK4" s="199"/>
    </row>
    <row r="5" spans="1:37" ht="14.9" customHeight="1" x14ac:dyDescent="0.35">
      <c r="A5" s="594"/>
      <c r="B5" s="595"/>
      <c r="C5" s="595"/>
      <c r="D5" s="595"/>
      <c r="E5" s="595"/>
      <c r="F5" s="348"/>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199"/>
      <c r="AK5" s="199"/>
    </row>
    <row r="6" spans="1:37" ht="14.9" customHeight="1" x14ac:dyDescent="0.35">
      <c r="A6" s="594"/>
      <c r="B6" s="595"/>
      <c r="C6" s="595"/>
      <c r="D6" s="595"/>
      <c r="E6" s="595"/>
      <c r="F6" s="348"/>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199"/>
      <c r="AK6" s="199"/>
    </row>
    <row r="7" spans="1:37" ht="14.9" customHeight="1" x14ac:dyDescent="0.35">
      <c r="A7" s="594"/>
      <c r="B7" s="595"/>
      <c r="C7" s="595"/>
      <c r="D7" s="595"/>
      <c r="E7" s="595"/>
      <c r="F7" s="348"/>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199"/>
      <c r="AK7" s="199"/>
    </row>
    <row r="8" spans="1:37" ht="14.9" customHeight="1" x14ac:dyDescent="0.35">
      <c r="A8" s="594"/>
      <c r="B8" s="595"/>
      <c r="C8" s="595"/>
      <c r="D8" s="595"/>
      <c r="E8" s="595"/>
      <c r="F8" s="348"/>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199"/>
      <c r="AK8" s="199"/>
    </row>
    <row r="9" spans="1:37" ht="14.9" customHeight="1" x14ac:dyDescent="0.35">
      <c r="A9" s="594"/>
      <c r="B9" s="595"/>
      <c r="C9" s="595"/>
      <c r="D9" s="595"/>
      <c r="E9" s="595"/>
      <c r="F9" s="348"/>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199"/>
      <c r="AK9" s="199"/>
    </row>
    <row r="10" spans="1:37" ht="70.5" hidden="1" customHeight="1" thickBot="1" x14ac:dyDescent="0.4">
      <c r="A10" s="199"/>
      <c r="B10" s="199"/>
      <c r="C10" s="199"/>
      <c r="D10" s="352" t="s">
        <v>9</v>
      </c>
      <c r="E10" s="8" t="s">
        <v>10</v>
      </c>
      <c r="F10" s="9">
        <v>0.7</v>
      </c>
      <c r="G10" s="9"/>
      <c r="H10" s="9"/>
      <c r="I10" s="6"/>
      <c r="J10" s="352" t="s">
        <v>11</v>
      </c>
      <c r="K10" s="8" t="s">
        <v>10</v>
      </c>
      <c r="L10" s="9">
        <v>0.7</v>
      </c>
      <c r="M10" s="10"/>
      <c r="N10" s="11"/>
      <c r="O10" s="11"/>
      <c r="P10" s="11"/>
      <c r="Q10" s="11"/>
      <c r="AG10" s="19"/>
      <c r="AH10" s="237"/>
      <c r="AI10" s="237"/>
      <c r="AJ10" s="199"/>
      <c r="AK10" s="199"/>
    </row>
    <row r="11" spans="1:37" ht="70.5" hidden="1" customHeight="1" x14ac:dyDescent="0.35">
      <c r="A11" s="199"/>
      <c r="B11" s="199"/>
      <c r="C11" s="199"/>
      <c r="D11" s="352"/>
      <c r="E11" s="8" t="s">
        <v>12</v>
      </c>
      <c r="F11" s="12">
        <v>0.9</v>
      </c>
      <c r="G11" s="12"/>
      <c r="H11" s="12"/>
      <c r="I11" s="12">
        <v>1</v>
      </c>
      <c r="J11" s="352"/>
      <c r="K11" s="8" t="s">
        <v>12</v>
      </c>
      <c r="L11" s="12">
        <v>0.95</v>
      </c>
      <c r="M11" s="11"/>
      <c r="N11" s="11"/>
      <c r="O11" s="11"/>
      <c r="P11" s="11"/>
      <c r="Q11" s="11"/>
      <c r="AG11" s="238"/>
      <c r="AH11" s="236"/>
      <c r="AI11" s="236"/>
      <c r="AJ11" s="199"/>
      <c r="AK11" s="199"/>
    </row>
    <row r="12" spans="1:37" ht="23.9" customHeight="1" x14ac:dyDescent="0.35">
      <c r="A12" s="199"/>
      <c r="B12" s="199"/>
      <c r="C12" s="199"/>
      <c r="D12" s="596" t="s">
        <v>13</v>
      </c>
      <c r="E12" s="596"/>
      <c r="F12" s="423" t="s">
        <v>14</v>
      </c>
      <c r="G12" s="423"/>
      <c r="H12" s="596" t="s">
        <v>15</v>
      </c>
      <c r="I12" s="596"/>
      <c r="J12" s="597">
        <f>S21+S23+S25+S27+S29+S31+S33+S35+S37+S39+S41+S43+S45+S47+S49+S51+S53+S55+S57+S59+S61+S63+S65+S67</f>
        <v>0.99999999999999956</v>
      </c>
      <c r="K12" s="596" t="s">
        <v>209</v>
      </c>
      <c r="L12" s="596"/>
      <c r="M12" s="597">
        <f>S20+S22+S24+S26+S28+S30+S32+S34+S36+S38+S40+S42+S44+S46+S48+S50+S52+S54+S56+S58+S60+S62+S64+S66</f>
        <v>0.23458333333333342</v>
      </c>
      <c r="N12" s="596" t="s">
        <v>17</v>
      </c>
      <c r="O12" s="596"/>
      <c r="P12" s="598">
        <v>1</v>
      </c>
      <c r="Q12" s="596" t="s">
        <v>18</v>
      </c>
      <c r="R12" s="596"/>
      <c r="S12" s="597">
        <f>(SUM(U20:X20,U22:X22,U24:X24,U26:X26,U28:X28,U30:X30,U32:X32,U34:X34,U36:X36,U38:X38,U40:X40,U42:X42,U44:X44,U46:X46,U48:X48,U50:X50,U52:X52,U54:X54,U56:X56,U58:X58,U60:X60,U62:X62,U64:X64,U66:X66)/SUM(U21:X21,U23:X23,U25:X25,U27:X27,U29:X29,U31:X31,U33:X33,U35:X35,U37:X37,U39:X39,U41:X41,U43:X43,U45:X45,U47:X47,U49:X49,U51:X51,U53:X53,U55:X55,U57:X57,U59:X59,U61:X61,U63:X63,U65:X65,U67:X67))/P12</f>
        <v>1</v>
      </c>
      <c r="T12" s="597"/>
      <c r="U12" s="596" t="s">
        <v>19</v>
      </c>
      <c r="V12" s="596"/>
      <c r="W12" s="596"/>
      <c r="X12" s="596"/>
      <c r="Y12" s="597">
        <f>(SUM(Y20:AB20,Y22:AB22,Y24:AB24,Y26:AB26,Y28:AB28,Y30:AB30,Y32:AB32,Y34:AB34,Y36:AB36,Y38:AB38,Y40:AB40,Y42:AB42,Y44:AB44,Y46:AB46,Y48:AB48,Y50:AB50,Y52:AB52,Y54:AB54,Y56:AB56,Y58:AB58,Y60:AB60,Y62:AB62,Y64:AB64,Y66:AB66)/SUM(Y21:AB21,Y23:AB23,Y25:AB25,Y27:AB27,Y29:AB29,Y31:AB31,Y33:AB33,Y35:AB35,Y37:AB37,Y39:AB39,Y41:AB41,Y43:AB43,Y45:AB45,Y47:AB47,Y49:AB49,Y51:AB51,Y53:AB53,Y55:AB55,Y57:AB57,Y59:AB59,Y61:AB61,Y63:AB63,Y65:AB65,Y67:AB67))</f>
        <v>0</v>
      </c>
      <c r="Z12" s="597"/>
      <c r="AA12" s="597"/>
      <c r="AB12" s="597"/>
      <c r="AC12" s="596" t="s">
        <v>20</v>
      </c>
      <c r="AD12" s="596"/>
      <c r="AE12" s="596"/>
      <c r="AF12" s="596"/>
      <c r="AG12" s="597">
        <f>(SUM(AC20:AF20,AC22:AF22,AC24:AF24,AC26:AF26,AC28:AF28,AC30:AF30,AC32:AF32,AC34:AF34,AC36:AF36,AC38:AF38,AC40:AF40,AC42:AF42,AC44:AF44,AC46:AF46,AC48:AF48,AC50:AF50,AC52:AF52,AC54:AF54,AC56:AF56,AC58:AF58,AC60:AF60,AC62:AF62,AC64:AF64,AC66:AF66)/SUM(AC21:AF21,AC23:AF23,AC25:AF25,AC27:AF27,AC29:AF29,AC31:AF31,AC33:AF33,AC35:AF35,AC37:AF37,AC39:AF39,AC41:AF41,AC43:AF43,AC45:AF45,AC47:AF47,AC49:AF49,AC51:AF51,AC53:AF53,AC55:AF55,AC57:AF57,AC59:AF59,AC61:AF61,AC63:AF63,AC65:AF65,AC67:AF67))</f>
        <v>0</v>
      </c>
      <c r="AH12" s="596"/>
      <c r="AI12" s="596"/>
      <c r="AJ12" s="199"/>
      <c r="AK12" s="199"/>
    </row>
    <row r="13" spans="1:37" ht="18.649999999999999" customHeight="1" x14ac:dyDescent="0.35">
      <c r="A13" s="199"/>
      <c r="B13" s="199"/>
      <c r="C13" s="199"/>
      <c r="D13" s="596"/>
      <c r="E13" s="596"/>
      <c r="F13" s="423"/>
      <c r="G13" s="423"/>
      <c r="H13" s="596"/>
      <c r="I13" s="596"/>
      <c r="J13" s="597"/>
      <c r="K13" s="596"/>
      <c r="L13" s="596"/>
      <c r="M13" s="597"/>
      <c r="N13" s="596"/>
      <c r="O13" s="596"/>
      <c r="P13" s="598"/>
      <c r="Q13" s="596"/>
      <c r="R13" s="596"/>
      <c r="S13" s="597"/>
      <c r="T13" s="597"/>
      <c r="U13" s="596"/>
      <c r="V13" s="596"/>
      <c r="W13" s="596"/>
      <c r="X13" s="596"/>
      <c r="Y13" s="597"/>
      <c r="Z13" s="597"/>
      <c r="AA13" s="597"/>
      <c r="AB13" s="597"/>
      <c r="AC13" s="596"/>
      <c r="AD13" s="596"/>
      <c r="AE13" s="596"/>
      <c r="AF13" s="596"/>
      <c r="AG13" s="597"/>
      <c r="AH13" s="596"/>
      <c r="AI13" s="596"/>
      <c r="AJ13" s="199"/>
      <c r="AK13" s="199"/>
    </row>
    <row r="14" spans="1:37" ht="18.649999999999999" customHeight="1" x14ac:dyDescent="0.35">
      <c r="A14" s="199"/>
      <c r="B14" s="199"/>
      <c r="C14" s="199"/>
      <c r="D14" s="596"/>
      <c r="E14" s="596"/>
      <c r="F14" s="423"/>
      <c r="G14" s="423"/>
      <c r="H14" s="596"/>
      <c r="I14" s="596"/>
      <c r="J14" s="597"/>
      <c r="K14" s="596"/>
      <c r="L14" s="596"/>
      <c r="M14" s="597"/>
      <c r="N14" s="596"/>
      <c r="O14" s="596"/>
      <c r="P14" s="598"/>
      <c r="Q14" s="596"/>
      <c r="R14" s="596"/>
      <c r="S14" s="597"/>
      <c r="T14" s="597"/>
      <c r="U14" s="596"/>
      <c r="V14" s="596"/>
      <c r="W14" s="596"/>
      <c r="X14" s="596"/>
      <c r="Y14" s="597"/>
      <c r="Z14" s="597"/>
      <c r="AA14" s="597"/>
      <c r="AB14" s="597"/>
      <c r="AC14" s="596"/>
      <c r="AD14" s="596"/>
      <c r="AE14" s="596"/>
      <c r="AF14" s="596"/>
      <c r="AG14" s="597"/>
      <c r="AH14" s="596"/>
      <c r="AI14" s="596"/>
      <c r="AJ14" s="199"/>
      <c r="AK14" s="199"/>
    </row>
    <row r="15" spans="1:37" ht="18.649999999999999" customHeight="1" x14ac:dyDescent="0.35">
      <c r="A15" s="199"/>
      <c r="B15" s="199"/>
      <c r="C15" s="199"/>
      <c r="D15" s="596"/>
      <c r="E15" s="596"/>
      <c r="F15" s="423"/>
      <c r="G15" s="423"/>
      <c r="H15" s="596"/>
      <c r="I15" s="596"/>
      <c r="J15" s="597"/>
      <c r="K15" s="596"/>
      <c r="L15" s="596"/>
      <c r="M15" s="597"/>
      <c r="N15" s="596"/>
      <c r="O15" s="596"/>
      <c r="P15" s="598"/>
      <c r="Q15" s="596"/>
      <c r="R15" s="596"/>
      <c r="S15" s="597"/>
      <c r="T15" s="597"/>
      <c r="U15" s="596"/>
      <c r="V15" s="596"/>
      <c r="W15" s="596"/>
      <c r="X15" s="596"/>
      <c r="Y15" s="597"/>
      <c r="Z15" s="597"/>
      <c r="AA15" s="597"/>
      <c r="AB15" s="597"/>
      <c r="AC15" s="596"/>
      <c r="AD15" s="596"/>
      <c r="AE15" s="596"/>
      <c r="AF15" s="596"/>
      <c r="AG15" s="597"/>
      <c r="AH15" s="596"/>
      <c r="AI15" s="596"/>
      <c r="AJ15" s="199"/>
      <c r="AK15" s="199"/>
    </row>
    <row r="16" spans="1:37" ht="18.649999999999999" customHeight="1" x14ac:dyDescent="0.35">
      <c r="A16" s="199"/>
      <c r="B16" s="199"/>
      <c r="C16" s="199"/>
      <c r="D16" s="596"/>
      <c r="E16" s="596"/>
      <c r="F16" s="423"/>
      <c r="G16" s="423"/>
      <c r="H16" s="596"/>
      <c r="I16" s="596"/>
      <c r="J16" s="597"/>
      <c r="K16" s="596"/>
      <c r="L16" s="596"/>
      <c r="M16" s="597"/>
      <c r="N16" s="596"/>
      <c r="O16" s="596"/>
      <c r="P16" s="598"/>
      <c r="Q16" s="596"/>
      <c r="R16" s="596"/>
      <c r="S16" s="597"/>
      <c r="T16" s="597"/>
      <c r="U16" s="596"/>
      <c r="V16" s="596"/>
      <c r="W16" s="596"/>
      <c r="X16" s="596"/>
      <c r="Y16" s="597"/>
      <c r="Z16" s="597"/>
      <c r="AA16" s="597"/>
      <c r="AB16" s="597"/>
      <c r="AC16" s="596"/>
      <c r="AD16" s="596"/>
      <c r="AE16" s="596"/>
      <c r="AF16" s="596"/>
      <c r="AG16" s="597"/>
      <c r="AH16" s="596"/>
      <c r="AI16" s="596"/>
      <c r="AJ16" s="199"/>
      <c r="AK16" s="199"/>
    </row>
    <row r="17" spans="1:37" ht="40.4" customHeight="1" thickBot="1" x14ac:dyDescent="0.4">
      <c r="A17" s="199"/>
      <c r="B17" s="199"/>
      <c r="C17" s="200"/>
      <c r="D17" s="599" t="s">
        <v>21</v>
      </c>
      <c r="E17" s="599"/>
      <c r="F17" s="599"/>
      <c r="G17" s="599"/>
      <c r="H17" s="599"/>
      <c r="I17" s="600" t="s">
        <v>22</v>
      </c>
      <c r="J17" s="601"/>
      <c r="K17" s="601"/>
      <c r="L17" s="601"/>
      <c r="M17" s="601"/>
      <c r="N17" s="601"/>
      <c r="O17" s="601"/>
      <c r="P17" s="601"/>
      <c r="Q17" s="601"/>
      <c r="R17" s="600" t="s">
        <v>23</v>
      </c>
      <c r="S17" s="601"/>
      <c r="T17" s="601"/>
      <c r="U17" s="601"/>
      <c r="V17" s="601"/>
      <c r="W17" s="601"/>
      <c r="X17" s="601"/>
      <c r="Y17" s="601"/>
      <c r="Z17" s="601"/>
      <c r="AA17" s="601"/>
      <c r="AB17" s="601"/>
      <c r="AC17" s="601"/>
      <c r="AD17" s="601"/>
      <c r="AE17" s="601"/>
      <c r="AF17" s="602"/>
      <c r="AG17" s="320" t="s">
        <v>24</v>
      </c>
      <c r="AH17" s="321"/>
      <c r="AI17" s="321"/>
      <c r="AJ17" s="199"/>
      <c r="AK17" s="199"/>
    </row>
    <row r="18" spans="1:37" ht="50.15" customHeight="1" thickBot="1" x14ac:dyDescent="0.4">
      <c r="A18" s="552"/>
      <c r="B18" s="552"/>
      <c r="C18" s="202" t="s">
        <v>1605</v>
      </c>
      <c r="D18" s="286" t="s">
        <v>25</v>
      </c>
      <c r="E18" s="294" t="s">
        <v>26</v>
      </c>
      <c r="F18" s="294" t="s">
        <v>27</v>
      </c>
      <c r="G18" s="294" t="s">
        <v>28</v>
      </c>
      <c r="H18" s="294" t="s">
        <v>29</v>
      </c>
      <c r="I18" s="294" t="s">
        <v>1606</v>
      </c>
      <c r="J18" s="294" t="s">
        <v>31</v>
      </c>
      <c r="K18" s="286" t="s">
        <v>1607</v>
      </c>
      <c r="L18" s="286" t="s">
        <v>1478</v>
      </c>
      <c r="M18" s="286" t="s">
        <v>1608</v>
      </c>
      <c r="N18" s="286" t="s">
        <v>34</v>
      </c>
      <c r="O18" s="286" t="s">
        <v>35</v>
      </c>
      <c r="P18" s="286" t="s">
        <v>37</v>
      </c>
      <c r="Q18" s="294" t="s">
        <v>38</v>
      </c>
      <c r="R18" s="310" t="s">
        <v>39</v>
      </c>
      <c r="S18" s="311" t="s">
        <v>40</v>
      </c>
      <c r="T18" s="312" t="s">
        <v>41</v>
      </c>
      <c r="U18" s="291" t="s">
        <v>42</v>
      </c>
      <c r="V18" s="291" t="s">
        <v>43</v>
      </c>
      <c r="W18" s="291" t="s">
        <v>44</v>
      </c>
      <c r="X18" s="291" t="s">
        <v>45</v>
      </c>
      <c r="Y18" s="291" t="s">
        <v>46</v>
      </c>
      <c r="Z18" s="291" t="s">
        <v>47</v>
      </c>
      <c r="AA18" s="291" t="s">
        <v>48</v>
      </c>
      <c r="AB18" s="291" t="s">
        <v>49</v>
      </c>
      <c r="AC18" s="291" t="s">
        <v>50</v>
      </c>
      <c r="AD18" s="291" t="s">
        <v>51</v>
      </c>
      <c r="AE18" s="291" t="s">
        <v>52</v>
      </c>
      <c r="AF18" s="291" t="s">
        <v>53</v>
      </c>
      <c r="AG18" s="435" t="s">
        <v>55</v>
      </c>
      <c r="AH18" s="394" t="s">
        <v>1609</v>
      </c>
      <c r="AI18" s="394" t="s">
        <v>57</v>
      </c>
      <c r="AJ18" s="199"/>
      <c r="AK18" s="199"/>
    </row>
    <row r="19" spans="1:37" ht="50.15" customHeight="1" thickBot="1" x14ac:dyDescent="0.4">
      <c r="A19" s="199"/>
      <c r="B19" s="199"/>
      <c r="C19" s="202"/>
      <c r="D19" s="287"/>
      <c r="E19" s="287"/>
      <c r="F19" s="287"/>
      <c r="G19" s="287"/>
      <c r="H19" s="287"/>
      <c r="I19" s="287"/>
      <c r="J19" s="287"/>
      <c r="K19" s="287"/>
      <c r="L19" s="287"/>
      <c r="M19" s="287"/>
      <c r="N19" s="287"/>
      <c r="O19" s="287"/>
      <c r="P19" s="287"/>
      <c r="Q19" s="287"/>
      <c r="R19" s="310"/>
      <c r="S19" s="311"/>
      <c r="T19" s="312"/>
      <c r="U19" s="291"/>
      <c r="V19" s="291"/>
      <c r="W19" s="291"/>
      <c r="X19" s="291"/>
      <c r="Y19" s="291"/>
      <c r="Z19" s="291"/>
      <c r="AA19" s="291"/>
      <c r="AB19" s="291"/>
      <c r="AC19" s="291"/>
      <c r="AD19" s="291"/>
      <c r="AE19" s="291"/>
      <c r="AF19" s="291"/>
      <c r="AG19" s="436"/>
      <c r="AH19" s="395"/>
      <c r="AI19" s="395"/>
      <c r="AJ19" s="199"/>
      <c r="AK19" s="199"/>
    </row>
    <row r="20" spans="1:37" ht="73.5" customHeight="1" thickBot="1" x14ac:dyDescent="0.4">
      <c r="A20" s="552"/>
      <c r="B20" s="552"/>
      <c r="C20" s="565"/>
      <c r="D20" s="564">
        <v>1</v>
      </c>
      <c r="E20" s="559" t="s">
        <v>70</v>
      </c>
      <c r="F20" s="559" t="s">
        <v>59</v>
      </c>
      <c r="G20" s="559" t="s">
        <v>71</v>
      </c>
      <c r="H20" s="559" t="s">
        <v>72</v>
      </c>
      <c r="I20" s="593" t="s">
        <v>1610</v>
      </c>
      <c r="J20" s="553" t="s">
        <v>87</v>
      </c>
      <c r="K20" s="553" t="s">
        <v>1611</v>
      </c>
      <c r="L20" s="553" t="s">
        <v>1612</v>
      </c>
      <c r="M20" s="555" t="s">
        <v>1613</v>
      </c>
      <c r="N20" s="555" t="s">
        <v>1614</v>
      </c>
      <c r="O20" s="555" t="s">
        <v>224</v>
      </c>
      <c r="P20" s="557">
        <v>45292</v>
      </c>
      <c r="Q20" s="557">
        <v>45641</v>
      </c>
      <c r="R20" s="15" t="s">
        <v>68</v>
      </c>
      <c r="S20" s="16">
        <f>+(S21*T20)</f>
        <v>1.375E-2</v>
      </c>
      <c r="T20" s="17">
        <f t="shared" ref="T20:T21" si="0">SUM(U20:AF20)</f>
        <v>0.33</v>
      </c>
      <c r="U20" s="18"/>
      <c r="V20" s="18"/>
      <c r="W20" s="18"/>
      <c r="X20" s="18">
        <v>0.33</v>
      </c>
      <c r="Y20" s="18"/>
      <c r="Z20" s="18"/>
      <c r="AA20" s="18"/>
      <c r="AB20" s="18"/>
      <c r="AC20" s="19"/>
      <c r="AD20" s="19"/>
      <c r="AE20" s="19"/>
      <c r="AF20" s="19"/>
      <c r="AG20" s="575" t="s">
        <v>1615</v>
      </c>
      <c r="AH20" s="575"/>
      <c r="AI20" s="575"/>
      <c r="AJ20" s="199"/>
      <c r="AK20" s="199"/>
    </row>
    <row r="21" spans="1:37" ht="73.5" customHeight="1" thickBot="1" x14ac:dyDescent="0.4">
      <c r="A21" s="552"/>
      <c r="B21" s="552"/>
      <c r="C21" s="566"/>
      <c r="D21" s="564"/>
      <c r="E21" s="559"/>
      <c r="F21" s="559"/>
      <c r="G21" s="559"/>
      <c r="H21" s="559"/>
      <c r="I21" s="593"/>
      <c r="J21" s="553"/>
      <c r="K21" s="553"/>
      <c r="L21" s="553"/>
      <c r="M21" s="555"/>
      <c r="N21" s="555"/>
      <c r="O21" s="555"/>
      <c r="P21" s="557"/>
      <c r="Q21" s="557"/>
      <c r="R21" s="15" t="s">
        <v>69</v>
      </c>
      <c r="S21" s="21">
        <f>100%/24</f>
        <v>4.1666666666666664E-2</v>
      </c>
      <c r="T21" s="17">
        <f t="shared" si="0"/>
        <v>1</v>
      </c>
      <c r="U21" s="22"/>
      <c r="V21" s="22"/>
      <c r="W21" s="22"/>
      <c r="X21" s="22">
        <v>0.33</v>
      </c>
      <c r="Y21" s="22"/>
      <c r="Z21" s="22"/>
      <c r="AA21" s="22"/>
      <c r="AB21" s="22">
        <v>0.33</v>
      </c>
      <c r="AC21" s="22"/>
      <c r="AD21" s="22"/>
      <c r="AE21" s="22"/>
      <c r="AF21" s="22">
        <v>0.34</v>
      </c>
      <c r="AG21" s="576"/>
      <c r="AH21" s="576"/>
      <c r="AI21" s="576"/>
    </row>
    <row r="22" spans="1:37" ht="73.5" customHeight="1" thickBot="1" x14ac:dyDescent="0.4">
      <c r="A22" s="552"/>
      <c r="B22" s="552"/>
      <c r="C22" s="566"/>
      <c r="D22" s="564">
        <v>2</v>
      </c>
      <c r="E22" s="559" t="s">
        <v>70</v>
      </c>
      <c r="F22" s="559" t="s">
        <v>59</v>
      </c>
      <c r="G22" s="559" t="s">
        <v>71</v>
      </c>
      <c r="H22" s="559" t="s">
        <v>72</v>
      </c>
      <c r="I22" s="593"/>
      <c r="J22" s="553" t="s">
        <v>87</v>
      </c>
      <c r="K22" s="592" t="s">
        <v>1611</v>
      </c>
      <c r="L22" s="553" t="s">
        <v>1616</v>
      </c>
      <c r="M22" s="555" t="s">
        <v>1617</v>
      </c>
      <c r="N22" s="555" t="s">
        <v>1614</v>
      </c>
      <c r="O22" s="555" t="s">
        <v>224</v>
      </c>
      <c r="P22" s="557">
        <v>45292</v>
      </c>
      <c r="Q22" s="557">
        <v>45641</v>
      </c>
      <c r="R22" s="15" t="s">
        <v>68</v>
      </c>
      <c r="S22" s="16">
        <f>+(S23*T22)</f>
        <v>1.375E-2</v>
      </c>
      <c r="T22" s="17">
        <f t="shared" ref="T22:T67" si="1">SUM(U22:AF22)</f>
        <v>0.33</v>
      </c>
      <c r="U22" s="18"/>
      <c r="V22" s="18"/>
      <c r="W22" s="18"/>
      <c r="X22" s="18">
        <v>0.33</v>
      </c>
      <c r="Y22" s="18"/>
      <c r="Z22" s="18"/>
      <c r="AA22" s="18"/>
      <c r="AB22" s="18"/>
      <c r="AC22" s="19"/>
      <c r="AD22" s="19"/>
      <c r="AE22" s="19"/>
      <c r="AF22" s="19"/>
      <c r="AG22" s="575" t="s">
        <v>1618</v>
      </c>
      <c r="AH22" s="575"/>
      <c r="AI22" s="575"/>
    </row>
    <row r="23" spans="1:37" ht="73.5" customHeight="1" thickBot="1" x14ac:dyDescent="0.4">
      <c r="A23" s="552"/>
      <c r="B23" s="552"/>
      <c r="C23" s="566"/>
      <c r="D23" s="564"/>
      <c r="E23" s="559"/>
      <c r="F23" s="559"/>
      <c r="G23" s="559"/>
      <c r="H23" s="559"/>
      <c r="I23" s="593"/>
      <c r="J23" s="553"/>
      <c r="K23" s="592"/>
      <c r="L23" s="553"/>
      <c r="M23" s="555"/>
      <c r="N23" s="555"/>
      <c r="O23" s="555"/>
      <c r="P23" s="557"/>
      <c r="Q23" s="557"/>
      <c r="R23" s="15" t="s">
        <v>69</v>
      </c>
      <c r="S23" s="21">
        <f>100%/24</f>
        <v>4.1666666666666664E-2</v>
      </c>
      <c r="T23" s="17">
        <f t="shared" si="1"/>
        <v>1</v>
      </c>
      <c r="U23" s="22"/>
      <c r="V23" s="22"/>
      <c r="W23" s="22"/>
      <c r="X23" s="22">
        <v>0.33</v>
      </c>
      <c r="Y23" s="22"/>
      <c r="Z23" s="22"/>
      <c r="AA23" s="22"/>
      <c r="AB23" s="22">
        <v>0.33</v>
      </c>
      <c r="AC23" s="22"/>
      <c r="AD23" s="22"/>
      <c r="AE23" s="22"/>
      <c r="AF23" s="22">
        <v>0.34</v>
      </c>
      <c r="AG23" s="576"/>
      <c r="AH23" s="576"/>
      <c r="AI23" s="576"/>
    </row>
    <row r="24" spans="1:37" ht="73.5" customHeight="1" thickBot="1" x14ac:dyDescent="0.4">
      <c r="A24" s="552"/>
      <c r="B24" s="552"/>
      <c r="C24" s="566"/>
      <c r="D24" s="564">
        <v>3</v>
      </c>
      <c r="E24" s="559" t="s">
        <v>70</v>
      </c>
      <c r="F24" s="559" t="s">
        <v>59</v>
      </c>
      <c r="G24" s="559" t="s">
        <v>71</v>
      </c>
      <c r="H24" s="559" t="s">
        <v>72</v>
      </c>
      <c r="I24" s="593"/>
      <c r="J24" s="553" t="s">
        <v>87</v>
      </c>
      <c r="K24" s="553" t="s">
        <v>1611</v>
      </c>
      <c r="L24" s="553" t="s">
        <v>1619</v>
      </c>
      <c r="M24" s="555" t="s">
        <v>1620</v>
      </c>
      <c r="N24" s="555" t="s">
        <v>1614</v>
      </c>
      <c r="O24" s="555" t="s">
        <v>224</v>
      </c>
      <c r="P24" s="557">
        <v>45292</v>
      </c>
      <c r="Q24" s="557">
        <v>45641</v>
      </c>
      <c r="R24" s="15" t="s">
        <v>68</v>
      </c>
      <c r="S24" s="16">
        <f>+(S25*T24)</f>
        <v>1.375E-2</v>
      </c>
      <c r="T24" s="17">
        <f t="shared" si="1"/>
        <v>0.33</v>
      </c>
      <c r="U24" s="18"/>
      <c r="V24" s="18"/>
      <c r="W24" s="18"/>
      <c r="X24" s="18">
        <v>0.33</v>
      </c>
      <c r="Y24" s="18"/>
      <c r="Z24" s="18"/>
      <c r="AA24" s="18"/>
      <c r="AB24" s="18"/>
      <c r="AC24" s="19"/>
      <c r="AD24" s="19"/>
      <c r="AE24" s="19"/>
      <c r="AF24" s="19"/>
      <c r="AG24" s="575" t="s">
        <v>1621</v>
      </c>
      <c r="AH24" s="575"/>
      <c r="AI24" s="575"/>
    </row>
    <row r="25" spans="1:37" ht="73.5" customHeight="1" thickBot="1" x14ac:dyDescent="0.4">
      <c r="A25" s="552"/>
      <c r="B25" s="552"/>
      <c r="C25" s="566"/>
      <c r="D25" s="564"/>
      <c r="E25" s="559"/>
      <c r="F25" s="559"/>
      <c r="G25" s="559"/>
      <c r="H25" s="559"/>
      <c r="I25" s="593"/>
      <c r="J25" s="553"/>
      <c r="K25" s="553"/>
      <c r="L25" s="553"/>
      <c r="M25" s="555"/>
      <c r="N25" s="555"/>
      <c r="O25" s="555"/>
      <c r="P25" s="557"/>
      <c r="Q25" s="557"/>
      <c r="R25" s="15" t="s">
        <v>69</v>
      </c>
      <c r="S25" s="21">
        <f>100%/24</f>
        <v>4.1666666666666664E-2</v>
      </c>
      <c r="T25" s="17">
        <f t="shared" si="1"/>
        <v>1</v>
      </c>
      <c r="U25" s="22"/>
      <c r="V25" s="22"/>
      <c r="W25" s="22"/>
      <c r="X25" s="22">
        <v>0.33</v>
      </c>
      <c r="Y25" s="22"/>
      <c r="Z25" s="22"/>
      <c r="AA25" s="22"/>
      <c r="AB25" s="22">
        <v>0.33</v>
      </c>
      <c r="AC25" s="22"/>
      <c r="AD25" s="22"/>
      <c r="AE25" s="22"/>
      <c r="AF25" s="22">
        <v>0.34</v>
      </c>
      <c r="AG25" s="576"/>
      <c r="AH25" s="576"/>
      <c r="AI25" s="576"/>
    </row>
    <row r="26" spans="1:37" ht="87" customHeight="1" thickBot="1" x14ac:dyDescent="0.4">
      <c r="A26" s="552"/>
      <c r="B26" s="552"/>
      <c r="C26" s="566"/>
      <c r="D26" s="564">
        <v>4</v>
      </c>
      <c r="E26" s="559" t="s">
        <v>70</v>
      </c>
      <c r="F26" s="559" t="s">
        <v>59</v>
      </c>
      <c r="G26" s="559" t="s">
        <v>71</v>
      </c>
      <c r="H26" s="559" t="s">
        <v>72</v>
      </c>
      <c r="I26" s="593"/>
      <c r="J26" s="553" t="s">
        <v>14</v>
      </c>
      <c r="K26" s="580" t="s">
        <v>1611</v>
      </c>
      <c r="L26" s="553" t="s">
        <v>1622</v>
      </c>
      <c r="M26" s="553" t="s">
        <v>1623</v>
      </c>
      <c r="N26" s="555" t="s">
        <v>1614</v>
      </c>
      <c r="O26" s="555" t="s">
        <v>224</v>
      </c>
      <c r="P26" s="557">
        <v>45413</v>
      </c>
      <c r="Q26" s="557">
        <v>45641</v>
      </c>
      <c r="R26" s="15" t="s">
        <v>68</v>
      </c>
      <c r="S26" s="16">
        <f>+(S27*T26)</f>
        <v>0</v>
      </c>
      <c r="T26" s="17">
        <f t="shared" si="1"/>
        <v>0</v>
      </c>
      <c r="U26" s="18"/>
      <c r="V26" s="18"/>
      <c r="W26" s="18"/>
      <c r="X26" s="18"/>
      <c r="Y26" s="18"/>
      <c r="Z26" s="18"/>
      <c r="AA26" s="18"/>
      <c r="AB26" s="18"/>
      <c r="AC26" s="19"/>
      <c r="AD26" s="19"/>
      <c r="AE26" s="19"/>
      <c r="AF26" s="19"/>
      <c r="AG26" s="582" t="s">
        <v>1624</v>
      </c>
      <c r="AH26" s="575"/>
      <c r="AI26" s="575"/>
    </row>
    <row r="27" spans="1:37" ht="87" customHeight="1" thickBot="1" x14ac:dyDescent="0.4">
      <c r="A27" s="552"/>
      <c r="B27" s="552"/>
      <c r="C27" s="567"/>
      <c r="D27" s="564"/>
      <c r="E27" s="559"/>
      <c r="F27" s="559"/>
      <c r="G27" s="559"/>
      <c r="H27" s="559"/>
      <c r="I27" s="593"/>
      <c r="J27" s="553"/>
      <c r="K27" s="580"/>
      <c r="L27" s="553"/>
      <c r="M27" s="553"/>
      <c r="N27" s="555"/>
      <c r="O27" s="555"/>
      <c r="P27" s="557"/>
      <c r="Q27" s="557"/>
      <c r="R27" s="15" t="s">
        <v>69</v>
      </c>
      <c r="S27" s="21">
        <f>100%/24</f>
        <v>4.1666666666666664E-2</v>
      </c>
      <c r="T27" s="17">
        <f t="shared" si="1"/>
        <v>1</v>
      </c>
      <c r="U27" s="22"/>
      <c r="V27" s="22"/>
      <c r="W27" s="22"/>
      <c r="X27" s="22"/>
      <c r="Y27" s="22"/>
      <c r="Z27" s="22"/>
      <c r="AA27" s="22"/>
      <c r="AB27" s="22">
        <v>0.5</v>
      </c>
      <c r="AC27" s="22"/>
      <c r="AD27" s="22"/>
      <c r="AE27" s="22"/>
      <c r="AF27" s="22">
        <v>0.5</v>
      </c>
      <c r="AG27" s="582"/>
      <c r="AH27" s="576"/>
      <c r="AI27" s="576"/>
    </row>
    <row r="28" spans="1:37" ht="73.5" customHeight="1" thickBot="1" x14ac:dyDescent="0.4">
      <c r="A28" s="587"/>
      <c r="B28" s="587"/>
      <c r="C28" s="589"/>
      <c r="D28" s="564">
        <v>5</v>
      </c>
      <c r="E28" s="559" t="s">
        <v>70</v>
      </c>
      <c r="F28" s="559" t="s">
        <v>59</v>
      </c>
      <c r="G28" s="559" t="s">
        <v>60</v>
      </c>
      <c r="H28" s="559" t="s">
        <v>61</v>
      </c>
      <c r="I28" s="588" t="s">
        <v>1625</v>
      </c>
      <c r="J28" s="553" t="s">
        <v>190</v>
      </c>
      <c r="K28" s="203" t="s">
        <v>1626</v>
      </c>
      <c r="L28" s="553" t="s">
        <v>1627</v>
      </c>
      <c r="M28" s="553" t="s">
        <v>1628</v>
      </c>
      <c r="N28" s="563" t="s">
        <v>1614</v>
      </c>
      <c r="O28" s="555" t="s">
        <v>224</v>
      </c>
      <c r="P28" s="557">
        <v>45323</v>
      </c>
      <c r="Q28" s="557">
        <v>45385</v>
      </c>
      <c r="R28" s="15" t="s">
        <v>68</v>
      </c>
      <c r="S28" s="16">
        <f>+(S29*T28)</f>
        <v>4.1666666666666664E-2</v>
      </c>
      <c r="T28" s="17">
        <f t="shared" si="1"/>
        <v>1</v>
      </c>
      <c r="U28" s="25"/>
      <c r="V28" s="25"/>
      <c r="W28" s="25"/>
      <c r="X28" s="18">
        <v>1</v>
      </c>
      <c r="Y28" s="18"/>
      <c r="Z28" s="18"/>
      <c r="AA28" s="18"/>
      <c r="AB28" s="18"/>
      <c r="AC28" s="19"/>
      <c r="AD28" s="19"/>
      <c r="AE28" s="19"/>
      <c r="AF28" s="19"/>
      <c r="AG28" s="575" t="s">
        <v>1629</v>
      </c>
      <c r="AH28" s="583" t="s">
        <v>1624</v>
      </c>
      <c r="AI28" s="583" t="s">
        <v>1624</v>
      </c>
    </row>
    <row r="29" spans="1:37" ht="73.5" customHeight="1" thickBot="1" x14ac:dyDescent="0.4">
      <c r="A29" s="587"/>
      <c r="B29" s="587"/>
      <c r="C29" s="590"/>
      <c r="D29" s="564"/>
      <c r="E29" s="559"/>
      <c r="F29" s="559"/>
      <c r="G29" s="559"/>
      <c r="H29" s="559"/>
      <c r="I29" s="588"/>
      <c r="J29" s="553"/>
      <c r="K29" s="203" t="s">
        <v>1630</v>
      </c>
      <c r="L29" s="553"/>
      <c r="M29" s="553"/>
      <c r="N29" s="563"/>
      <c r="O29" s="555"/>
      <c r="P29" s="557"/>
      <c r="Q29" s="557"/>
      <c r="R29" s="15" t="s">
        <v>69</v>
      </c>
      <c r="S29" s="21">
        <f>100%/24</f>
        <v>4.1666666666666664E-2</v>
      </c>
      <c r="T29" s="17">
        <f t="shared" si="1"/>
        <v>1</v>
      </c>
      <c r="U29" s="22"/>
      <c r="V29" s="22"/>
      <c r="W29" s="22"/>
      <c r="X29" s="22">
        <v>1</v>
      </c>
      <c r="Y29" s="22"/>
      <c r="Z29" s="22"/>
      <c r="AA29" s="22"/>
      <c r="AB29" s="22"/>
      <c r="AC29" s="22"/>
      <c r="AD29" s="22"/>
      <c r="AE29" s="22"/>
      <c r="AF29" s="22"/>
      <c r="AG29" s="576"/>
      <c r="AH29" s="583"/>
      <c r="AI29" s="583"/>
    </row>
    <row r="30" spans="1:37" ht="73.5" customHeight="1" thickBot="1" x14ac:dyDescent="0.4">
      <c r="A30" s="552"/>
      <c r="B30" s="552"/>
      <c r="C30" s="590"/>
      <c r="D30" s="564">
        <v>6</v>
      </c>
      <c r="E30" s="559" t="s">
        <v>70</v>
      </c>
      <c r="F30" s="559" t="s">
        <v>59</v>
      </c>
      <c r="G30" s="559" t="s">
        <v>60</v>
      </c>
      <c r="H30" s="559" t="s">
        <v>61</v>
      </c>
      <c r="I30" s="588"/>
      <c r="J30" s="553" t="s">
        <v>190</v>
      </c>
      <c r="K30" s="203" t="s">
        <v>1626</v>
      </c>
      <c r="L30" s="553" t="s">
        <v>1631</v>
      </c>
      <c r="M30" s="553" t="s">
        <v>1632</v>
      </c>
      <c r="N30" s="563" t="s">
        <v>1614</v>
      </c>
      <c r="O30" s="555" t="s">
        <v>224</v>
      </c>
      <c r="P30" s="557">
        <v>45488</v>
      </c>
      <c r="Q30" s="557">
        <v>45504</v>
      </c>
      <c r="R30" s="15" t="s">
        <v>68</v>
      </c>
      <c r="S30" s="16">
        <f>+(S31*T30)</f>
        <v>0</v>
      </c>
      <c r="T30" s="17">
        <f t="shared" si="1"/>
        <v>0</v>
      </c>
      <c r="U30" s="26"/>
      <c r="V30" s="26"/>
      <c r="W30" s="26"/>
      <c r="X30" s="18"/>
      <c r="Y30" s="18"/>
      <c r="Z30" s="18"/>
      <c r="AA30" s="18"/>
      <c r="AB30" s="18"/>
      <c r="AC30" s="19"/>
      <c r="AD30" s="19"/>
      <c r="AE30" s="19"/>
      <c r="AF30" s="19"/>
      <c r="AG30" s="582" t="s">
        <v>1624</v>
      </c>
      <c r="AH30" s="575"/>
      <c r="AI30" s="582" t="s">
        <v>1624</v>
      </c>
    </row>
    <row r="31" spans="1:37" ht="73.5" customHeight="1" thickBot="1" x14ac:dyDescent="0.4">
      <c r="A31" s="552"/>
      <c r="B31" s="552"/>
      <c r="C31" s="590"/>
      <c r="D31" s="564"/>
      <c r="E31" s="559"/>
      <c r="F31" s="559"/>
      <c r="G31" s="559"/>
      <c r="H31" s="559"/>
      <c r="I31" s="588"/>
      <c r="J31" s="553"/>
      <c r="K31" s="203" t="s">
        <v>1630</v>
      </c>
      <c r="L31" s="553"/>
      <c r="M31" s="553"/>
      <c r="N31" s="563"/>
      <c r="O31" s="555"/>
      <c r="P31" s="557"/>
      <c r="Q31" s="557"/>
      <c r="R31" s="15" t="s">
        <v>69</v>
      </c>
      <c r="S31" s="21">
        <f>100%/24</f>
        <v>4.1666666666666664E-2</v>
      </c>
      <c r="T31" s="17">
        <f t="shared" si="1"/>
        <v>1</v>
      </c>
      <c r="U31" s="22"/>
      <c r="V31" s="22"/>
      <c r="W31" s="22"/>
      <c r="X31" s="22"/>
      <c r="Y31" s="22"/>
      <c r="Z31" s="22"/>
      <c r="AA31" s="22"/>
      <c r="AB31" s="22">
        <v>1</v>
      </c>
      <c r="AC31" s="22"/>
      <c r="AD31" s="22"/>
      <c r="AE31" s="22"/>
      <c r="AF31" s="22"/>
      <c r="AG31" s="582"/>
      <c r="AH31" s="576"/>
      <c r="AI31" s="582"/>
    </row>
    <row r="32" spans="1:37" ht="73.5" customHeight="1" thickBot="1" x14ac:dyDescent="0.4">
      <c r="A32" s="587"/>
      <c r="B32" s="587"/>
      <c r="C32" s="590"/>
      <c r="D32" s="564">
        <v>7</v>
      </c>
      <c r="E32" s="559" t="s">
        <v>70</v>
      </c>
      <c r="F32" s="559" t="s">
        <v>59</v>
      </c>
      <c r="G32" s="559" t="s">
        <v>60</v>
      </c>
      <c r="H32" s="559" t="s">
        <v>61</v>
      </c>
      <c r="I32" s="588"/>
      <c r="J32" s="553" t="s">
        <v>190</v>
      </c>
      <c r="K32" s="203" t="s">
        <v>1626</v>
      </c>
      <c r="L32" s="553" t="s">
        <v>1633</v>
      </c>
      <c r="M32" s="553" t="s">
        <v>1634</v>
      </c>
      <c r="N32" s="563" t="s">
        <v>1614</v>
      </c>
      <c r="O32" s="555" t="s">
        <v>224</v>
      </c>
      <c r="P32" s="557">
        <v>45292</v>
      </c>
      <c r="Q32" s="557">
        <v>45641</v>
      </c>
      <c r="R32" s="15" t="s">
        <v>68</v>
      </c>
      <c r="S32" s="16">
        <f>+(S33*T32)</f>
        <v>1.375E-2</v>
      </c>
      <c r="T32" s="17">
        <f t="shared" si="1"/>
        <v>0.33</v>
      </c>
      <c r="U32" s="25"/>
      <c r="V32" s="25"/>
      <c r="W32" s="25"/>
      <c r="X32" s="25">
        <v>0.33</v>
      </c>
      <c r="Y32" s="25"/>
      <c r="Z32" s="194"/>
      <c r="AA32" s="25"/>
      <c r="AB32" s="25"/>
      <c r="AC32" s="25"/>
      <c r="AD32" s="25"/>
      <c r="AE32" s="25"/>
      <c r="AF32" s="19"/>
      <c r="AG32" s="575" t="s">
        <v>1635</v>
      </c>
      <c r="AH32" s="575"/>
      <c r="AI32" s="575"/>
    </row>
    <row r="33" spans="1:35" ht="73.5" customHeight="1" thickBot="1" x14ac:dyDescent="0.4">
      <c r="A33" s="587"/>
      <c r="B33" s="587"/>
      <c r="C33" s="590"/>
      <c r="D33" s="564"/>
      <c r="E33" s="559"/>
      <c r="F33" s="559"/>
      <c r="G33" s="559"/>
      <c r="H33" s="559"/>
      <c r="I33" s="588"/>
      <c r="J33" s="553"/>
      <c r="K33" s="203" t="s">
        <v>1630</v>
      </c>
      <c r="L33" s="553"/>
      <c r="M33" s="553"/>
      <c r="N33" s="563"/>
      <c r="O33" s="555"/>
      <c r="P33" s="557"/>
      <c r="Q33" s="557"/>
      <c r="R33" s="15" t="s">
        <v>69</v>
      </c>
      <c r="S33" s="21">
        <f>100%/24</f>
        <v>4.1666666666666664E-2</v>
      </c>
      <c r="T33" s="17">
        <f t="shared" si="1"/>
        <v>1</v>
      </c>
      <c r="U33" s="22"/>
      <c r="V33" s="22"/>
      <c r="W33" s="22"/>
      <c r="X33" s="22">
        <v>0.33</v>
      </c>
      <c r="Y33" s="22"/>
      <c r="Z33" s="22"/>
      <c r="AA33" s="22"/>
      <c r="AB33" s="22">
        <v>0.33</v>
      </c>
      <c r="AC33" s="22"/>
      <c r="AD33" s="22"/>
      <c r="AE33" s="22"/>
      <c r="AF33" s="22">
        <v>0.34</v>
      </c>
      <c r="AG33" s="576"/>
      <c r="AH33" s="576"/>
      <c r="AI33" s="576"/>
    </row>
    <row r="34" spans="1:35" ht="73.5" customHeight="1" thickBot="1" x14ac:dyDescent="0.4">
      <c r="A34" s="552"/>
      <c r="B34" s="552"/>
      <c r="C34" s="590"/>
      <c r="D34" s="564">
        <v>8</v>
      </c>
      <c r="E34" s="559" t="s">
        <v>70</v>
      </c>
      <c r="F34" s="559" t="s">
        <v>59</v>
      </c>
      <c r="G34" s="559" t="s">
        <v>60</v>
      </c>
      <c r="H34" s="559" t="s">
        <v>61</v>
      </c>
      <c r="I34" s="588"/>
      <c r="J34" s="553" t="s">
        <v>190</v>
      </c>
      <c r="K34" s="203" t="s">
        <v>1626</v>
      </c>
      <c r="L34" s="553" t="s">
        <v>1636</v>
      </c>
      <c r="M34" s="553" t="s">
        <v>1637</v>
      </c>
      <c r="N34" s="563" t="s">
        <v>1614</v>
      </c>
      <c r="O34" s="555" t="s">
        <v>224</v>
      </c>
      <c r="P34" s="557">
        <v>45474</v>
      </c>
      <c r="Q34" s="557">
        <v>45535</v>
      </c>
      <c r="R34" s="15" t="s">
        <v>68</v>
      </c>
      <c r="S34" s="16">
        <f>+(S35*T34)</f>
        <v>0</v>
      </c>
      <c r="T34" s="17">
        <f t="shared" si="1"/>
        <v>0</v>
      </c>
      <c r="U34" s="25"/>
      <c r="V34" s="25"/>
      <c r="W34" s="25"/>
      <c r="X34" s="25"/>
      <c r="Y34" s="25"/>
      <c r="Z34" s="194"/>
      <c r="AA34" s="25"/>
      <c r="AB34" s="25"/>
      <c r="AC34" s="25"/>
      <c r="AD34" s="25"/>
      <c r="AE34" s="25"/>
      <c r="AF34" s="19"/>
      <c r="AG34" s="582" t="s">
        <v>1624</v>
      </c>
      <c r="AH34" s="575"/>
      <c r="AI34" s="582" t="s">
        <v>1624</v>
      </c>
    </row>
    <row r="35" spans="1:35" ht="73.5" customHeight="1" thickBot="1" x14ac:dyDescent="0.4">
      <c r="A35" s="552"/>
      <c r="B35" s="552"/>
      <c r="C35" s="590"/>
      <c r="D35" s="564"/>
      <c r="E35" s="559"/>
      <c r="F35" s="559"/>
      <c r="G35" s="559"/>
      <c r="H35" s="559"/>
      <c r="I35" s="588"/>
      <c r="J35" s="553"/>
      <c r="K35" s="203" t="s">
        <v>1630</v>
      </c>
      <c r="L35" s="553"/>
      <c r="M35" s="553"/>
      <c r="N35" s="563"/>
      <c r="O35" s="555"/>
      <c r="P35" s="557"/>
      <c r="Q35" s="557"/>
      <c r="R35" s="15" t="s">
        <v>69</v>
      </c>
      <c r="S35" s="21">
        <f>100%/24</f>
        <v>4.1666666666666664E-2</v>
      </c>
      <c r="T35" s="17">
        <f t="shared" si="1"/>
        <v>1</v>
      </c>
      <c r="U35" s="22"/>
      <c r="V35" s="22"/>
      <c r="W35" s="22"/>
      <c r="X35" s="22"/>
      <c r="Y35" s="22"/>
      <c r="Z35" s="22"/>
      <c r="AA35" s="22"/>
      <c r="AB35" s="22">
        <v>1</v>
      </c>
      <c r="AC35" s="22"/>
      <c r="AD35" s="22"/>
      <c r="AE35" s="22"/>
      <c r="AF35" s="22"/>
      <c r="AG35" s="582"/>
      <c r="AH35" s="576"/>
      <c r="AI35" s="582"/>
    </row>
    <row r="36" spans="1:35" ht="73.5" customHeight="1" thickBot="1" x14ac:dyDescent="0.4">
      <c r="A36" s="552"/>
      <c r="B36" s="552"/>
      <c r="C36" s="590"/>
      <c r="D36" s="564">
        <v>9</v>
      </c>
      <c r="E36" s="559" t="s">
        <v>70</v>
      </c>
      <c r="F36" s="559" t="s">
        <v>59</v>
      </c>
      <c r="G36" s="559" t="s">
        <v>60</v>
      </c>
      <c r="H36" s="559" t="s">
        <v>61</v>
      </c>
      <c r="I36" s="588"/>
      <c r="J36" s="553" t="s">
        <v>190</v>
      </c>
      <c r="K36" s="203" t="s">
        <v>1638</v>
      </c>
      <c r="L36" s="553" t="s">
        <v>1639</v>
      </c>
      <c r="M36" s="553" t="s">
        <v>1640</v>
      </c>
      <c r="N36" s="563" t="s">
        <v>1614</v>
      </c>
      <c r="O36" s="555" t="s">
        <v>224</v>
      </c>
      <c r="P36" s="557">
        <v>45444</v>
      </c>
      <c r="Q36" s="557">
        <v>45473</v>
      </c>
      <c r="R36" s="15" t="s">
        <v>68</v>
      </c>
      <c r="S36" s="16">
        <f>+(S37*T36)</f>
        <v>0</v>
      </c>
      <c r="T36" s="17">
        <f t="shared" si="1"/>
        <v>0</v>
      </c>
      <c r="U36" s="25"/>
      <c r="V36" s="25"/>
      <c r="W36" s="25"/>
      <c r="X36" s="25"/>
      <c r="Y36" s="25"/>
      <c r="Z36" s="194"/>
      <c r="AA36" s="25"/>
      <c r="AB36" s="25"/>
      <c r="AC36" s="25"/>
      <c r="AD36" s="25"/>
      <c r="AE36" s="25"/>
      <c r="AF36" s="19"/>
      <c r="AG36" s="582" t="s">
        <v>1624</v>
      </c>
      <c r="AH36" s="575"/>
      <c r="AI36" s="575"/>
    </row>
    <row r="37" spans="1:35" ht="73.5" customHeight="1" thickBot="1" x14ac:dyDescent="0.4">
      <c r="A37" s="552"/>
      <c r="B37" s="552"/>
      <c r="C37" s="590"/>
      <c r="D37" s="564"/>
      <c r="E37" s="559"/>
      <c r="F37" s="559"/>
      <c r="G37" s="559"/>
      <c r="H37" s="559"/>
      <c r="I37" s="588"/>
      <c r="J37" s="553"/>
      <c r="K37" s="203" t="s">
        <v>1641</v>
      </c>
      <c r="L37" s="553"/>
      <c r="M37" s="553"/>
      <c r="N37" s="563"/>
      <c r="O37" s="555"/>
      <c r="P37" s="557"/>
      <c r="Q37" s="557"/>
      <c r="R37" s="15" t="s">
        <v>69</v>
      </c>
      <c r="S37" s="21">
        <f>100%/24</f>
        <v>4.1666666666666664E-2</v>
      </c>
      <c r="T37" s="17">
        <f t="shared" si="1"/>
        <v>1</v>
      </c>
      <c r="U37" s="22"/>
      <c r="V37" s="22"/>
      <c r="W37" s="22"/>
      <c r="X37" s="22"/>
      <c r="Y37" s="22"/>
      <c r="Z37" s="22"/>
      <c r="AA37" s="22"/>
      <c r="AB37" s="22">
        <v>0.5</v>
      </c>
      <c r="AC37" s="22"/>
      <c r="AD37" s="22"/>
      <c r="AE37" s="22"/>
      <c r="AF37" s="22">
        <v>0.5</v>
      </c>
      <c r="AG37" s="582"/>
      <c r="AH37" s="576"/>
      <c r="AI37" s="576"/>
    </row>
    <row r="38" spans="1:35" ht="73.5" customHeight="1" thickBot="1" x14ac:dyDescent="0.4">
      <c r="A38" s="587"/>
      <c r="B38" s="587"/>
      <c r="C38" s="590"/>
      <c r="D38" s="564">
        <v>10</v>
      </c>
      <c r="E38" s="559" t="s">
        <v>70</v>
      </c>
      <c r="F38" s="559" t="s">
        <v>59</v>
      </c>
      <c r="G38" s="559" t="s">
        <v>60</v>
      </c>
      <c r="H38" s="559" t="s">
        <v>61</v>
      </c>
      <c r="I38" s="588"/>
      <c r="J38" s="553" t="s">
        <v>190</v>
      </c>
      <c r="K38" s="203" t="s">
        <v>1638</v>
      </c>
      <c r="L38" s="553" t="s">
        <v>1642</v>
      </c>
      <c r="M38" s="553" t="s">
        <v>1643</v>
      </c>
      <c r="N38" s="563" t="s">
        <v>1614</v>
      </c>
      <c r="O38" s="555" t="s">
        <v>224</v>
      </c>
      <c r="P38" s="557">
        <v>45323</v>
      </c>
      <c r="Q38" s="557">
        <v>45382</v>
      </c>
      <c r="R38" s="15" t="s">
        <v>68</v>
      </c>
      <c r="S38" s="16">
        <f>+(S39*T38)</f>
        <v>4.1666666666666664E-2</v>
      </c>
      <c r="T38" s="17">
        <f t="shared" si="1"/>
        <v>1</v>
      </c>
      <c r="U38" s="25"/>
      <c r="V38" s="25"/>
      <c r="W38" s="25"/>
      <c r="X38" s="25">
        <v>1</v>
      </c>
      <c r="Y38" s="25"/>
      <c r="Z38" s="194"/>
      <c r="AA38" s="25"/>
      <c r="AB38" s="25"/>
      <c r="AC38" s="25"/>
      <c r="AD38" s="25"/>
      <c r="AE38" s="25"/>
      <c r="AF38" s="19"/>
      <c r="AG38" s="575" t="s">
        <v>1644</v>
      </c>
      <c r="AH38" s="583" t="s">
        <v>1624</v>
      </c>
      <c r="AI38" s="583" t="s">
        <v>1624</v>
      </c>
    </row>
    <row r="39" spans="1:35" ht="73.5" customHeight="1" thickBot="1" x14ac:dyDescent="0.4">
      <c r="A39" s="587"/>
      <c r="B39" s="587"/>
      <c r="C39" s="590"/>
      <c r="D39" s="564"/>
      <c r="E39" s="559"/>
      <c r="F39" s="559"/>
      <c r="G39" s="559"/>
      <c r="H39" s="559"/>
      <c r="I39" s="588"/>
      <c r="J39" s="553"/>
      <c r="K39" s="203" t="s">
        <v>1641</v>
      </c>
      <c r="L39" s="553"/>
      <c r="M39" s="553"/>
      <c r="N39" s="563"/>
      <c r="O39" s="555"/>
      <c r="P39" s="557"/>
      <c r="Q39" s="557"/>
      <c r="R39" s="15" t="s">
        <v>69</v>
      </c>
      <c r="S39" s="21">
        <f>100%/24</f>
        <v>4.1666666666666664E-2</v>
      </c>
      <c r="T39" s="17">
        <f t="shared" si="1"/>
        <v>1</v>
      </c>
      <c r="U39" s="22"/>
      <c r="V39" s="22"/>
      <c r="W39" s="22"/>
      <c r="X39" s="22">
        <v>1</v>
      </c>
      <c r="Y39" s="22"/>
      <c r="Z39" s="22"/>
      <c r="AA39" s="22"/>
      <c r="AB39" s="22"/>
      <c r="AC39" s="22"/>
      <c r="AD39" s="22"/>
      <c r="AE39" s="22"/>
      <c r="AF39" s="22"/>
      <c r="AG39" s="576"/>
      <c r="AH39" s="583"/>
      <c r="AI39" s="583"/>
    </row>
    <row r="40" spans="1:35" ht="73.5" customHeight="1" thickBot="1" x14ac:dyDescent="0.4">
      <c r="A40" s="552"/>
      <c r="B40" s="552"/>
      <c r="C40" s="590"/>
      <c r="D40" s="564">
        <v>11</v>
      </c>
      <c r="E40" s="559" t="s">
        <v>70</v>
      </c>
      <c r="F40" s="559" t="s">
        <v>59</v>
      </c>
      <c r="G40" s="559" t="s">
        <v>60</v>
      </c>
      <c r="H40" s="559" t="s">
        <v>61</v>
      </c>
      <c r="I40" s="588"/>
      <c r="J40" s="553" t="s">
        <v>190</v>
      </c>
      <c r="K40" s="203" t="s">
        <v>1645</v>
      </c>
      <c r="L40" s="553" t="s">
        <v>1646</v>
      </c>
      <c r="M40" s="553" t="s">
        <v>1647</v>
      </c>
      <c r="N40" s="563" t="s">
        <v>1614</v>
      </c>
      <c r="O40" s="555" t="s">
        <v>224</v>
      </c>
      <c r="P40" s="557">
        <v>45458</v>
      </c>
      <c r="Q40" s="557">
        <v>45504</v>
      </c>
      <c r="R40" s="15" t="s">
        <v>68</v>
      </c>
      <c r="S40" s="16">
        <f>+(S41*T40)</f>
        <v>0</v>
      </c>
      <c r="T40" s="17">
        <f t="shared" si="1"/>
        <v>0</v>
      </c>
      <c r="U40" s="25"/>
      <c r="V40" s="25"/>
      <c r="W40" s="25"/>
      <c r="X40" s="25"/>
      <c r="Y40" s="25"/>
      <c r="Z40" s="194"/>
      <c r="AA40" s="25"/>
      <c r="AB40" s="25"/>
      <c r="AC40" s="25"/>
      <c r="AD40" s="25"/>
      <c r="AE40" s="25"/>
      <c r="AF40" s="19"/>
      <c r="AG40" s="582" t="s">
        <v>1624</v>
      </c>
      <c r="AH40" s="575"/>
      <c r="AI40" s="575"/>
    </row>
    <row r="41" spans="1:35" ht="73.5" customHeight="1" thickBot="1" x14ac:dyDescent="0.4">
      <c r="A41" s="552"/>
      <c r="B41" s="552"/>
      <c r="C41" s="590"/>
      <c r="D41" s="564"/>
      <c r="E41" s="559"/>
      <c r="F41" s="559"/>
      <c r="G41" s="559"/>
      <c r="H41" s="559"/>
      <c r="I41" s="588"/>
      <c r="J41" s="553"/>
      <c r="K41" s="203" t="s">
        <v>1648</v>
      </c>
      <c r="L41" s="553"/>
      <c r="M41" s="553"/>
      <c r="N41" s="563"/>
      <c r="O41" s="555"/>
      <c r="P41" s="557"/>
      <c r="Q41" s="557"/>
      <c r="R41" s="15" t="s">
        <v>69</v>
      </c>
      <c r="S41" s="21">
        <f>100%/24</f>
        <v>4.1666666666666664E-2</v>
      </c>
      <c r="T41" s="17">
        <f t="shared" si="1"/>
        <v>1</v>
      </c>
      <c r="U41" s="22"/>
      <c r="V41" s="22"/>
      <c r="W41" s="22"/>
      <c r="X41" s="22"/>
      <c r="Y41" s="22"/>
      <c r="Z41" s="22"/>
      <c r="AA41" s="22"/>
      <c r="AB41" s="22">
        <v>0.5</v>
      </c>
      <c r="AC41" s="22"/>
      <c r="AD41" s="22"/>
      <c r="AE41" s="22"/>
      <c r="AF41" s="22">
        <v>0.5</v>
      </c>
      <c r="AG41" s="582"/>
      <c r="AH41" s="576"/>
      <c r="AI41" s="576"/>
    </row>
    <row r="42" spans="1:35" ht="137.9" customHeight="1" thickBot="1" x14ac:dyDescent="0.4">
      <c r="A42" s="552"/>
      <c r="B42" s="552"/>
      <c r="C42" s="590"/>
      <c r="D42" s="564">
        <v>12</v>
      </c>
      <c r="E42" s="559" t="s">
        <v>70</v>
      </c>
      <c r="F42" s="559" t="s">
        <v>59</v>
      </c>
      <c r="G42" s="559" t="s">
        <v>60</v>
      </c>
      <c r="H42" s="559" t="s">
        <v>61</v>
      </c>
      <c r="I42" s="588"/>
      <c r="J42" s="553" t="s">
        <v>190</v>
      </c>
      <c r="K42" s="553" t="s">
        <v>1649</v>
      </c>
      <c r="L42" s="553" t="s">
        <v>1650</v>
      </c>
      <c r="M42" s="553" t="s">
        <v>1651</v>
      </c>
      <c r="N42" s="563" t="s">
        <v>1614</v>
      </c>
      <c r="O42" s="555" t="s">
        <v>224</v>
      </c>
      <c r="P42" s="557">
        <v>45627</v>
      </c>
      <c r="Q42" s="557">
        <v>45657</v>
      </c>
      <c r="R42" s="15" t="s">
        <v>68</v>
      </c>
      <c r="S42" s="16">
        <f>+(S43*T42)</f>
        <v>0</v>
      </c>
      <c r="T42" s="17">
        <f t="shared" si="1"/>
        <v>0</v>
      </c>
      <c r="U42" s="25"/>
      <c r="V42" s="25"/>
      <c r="W42" s="25"/>
      <c r="X42" s="25"/>
      <c r="Y42" s="25"/>
      <c r="Z42" s="194"/>
      <c r="AA42" s="25"/>
      <c r="AB42" s="25"/>
      <c r="AC42" s="25"/>
      <c r="AD42" s="25"/>
      <c r="AE42" s="25"/>
      <c r="AF42" s="19"/>
      <c r="AG42" s="583" t="s">
        <v>1624</v>
      </c>
      <c r="AH42" s="583" t="s">
        <v>1624</v>
      </c>
      <c r="AI42" s="575"/>
    </row>
    <row r="43" spans="1:35" ht="137.9" customHeight="1" thickBot="1" x14ac:dyDescent="0.4">
      <c r="A43" s="552"/>
      <c r="B43" s="552"/>
      <c r="C43" s="591"/>
      <c r="D43" s="564"/>
      <c r="E43" s="559"/>
      <c r="F43" s="559"/>
      <c r="G43" s="559"/>
      <c r="H43" s="559"/>
      <c r="I43" s="588"/>
      <c r="J43" s="553"/>
      <c r="K43" s="553"/>
      <c r="L43" s="553"/>
      <c r="M43" s="553"/>
      <c r="N43" s="563"/>
      <c r="O43" s="555"/>
      <c r="P43" s="557"/>
      <c r="Q43" s="557"/>
      <c r="R43" s="15" t="s">
        <v>69</v>
      </c>
      <c r="S43" s="21">
        <f>100%/24</f>
        <v>4.1666666666666664E-2</v>
      </c>
      <c r="T43" s="17">
        <f t="shared" si="1"/>
        <v>1</v>
      </c>
      <c r="U43" s="22"/>
      <c r="V43" s="22"/>
      <c r="W43" s="22"/>
      <c r="X43" s="22"/>
      <c r="Y43" s="22"/>
      <c r="Z43" s="22"/>
      <c r="AA43" s="22"/>
      <c r="AB43" s="22"/>
      <c r="AC43" s="22"/>
      <c r="AD43" s="22"/>
      <c r="AE43" s="22"/>
      <c r="AF43" s="22">
        <v>1</v>
      </c>
      <c r="AG43" s="583"/>
      <c r="AH43" s="583"/>
      <c r="AI43" s="576"/>
    </row>
    <row r="44" spans="1:35" ht="73.5" customHeight="1" thickBot="1" x14ac:dyDescent="0.4">
      <c r="A44" s="552"/>
      <c r="B44" s="552"/>
      <c r="C44" s="565"/>
      <c r="D44" s="564">
        <v>13</v>
      </c>
      <c r="E44" s="559" t="s">
        <v>70</v>
      </c>
      <c r="F44" s="559" t="s">
        <v>59</v>
      </c>
      <c r="G44" s="559" t="s">
        <v>60</v>
      </c>
      <c r="H44" s="559" t="s">
        <v>155</v>
      </c>
      <c r="I44" s="584" t="s">
        <v>1652</v>
      </c>
      <c r="J44" s="573" t="s">
        <v>62</v>
      </c>
      <c r="K44" s="573" t="s">
        <v>1653</v>
      </c>
      <c r="L44" s="573" t="s">
        <v>1654</v>
      </c>
      <c r="M44" s="206" t="s">
        <v>1655</v>
      </c>
      <c r="N44" s="573" t="s">
        <v>1614</v>
      </c>
      <c r="O44" s="555" t="s">
        <v>224</v>
      </c>
      <c r="P44" s="557">
        <v>45292</v>
      </c>
      <c r="Q44" s="557">
        <v>45687</v>
      </c>
      <c r="R44" s="15" t="s">
        <v>68</v>
      </c>
      <c r="S44" s="16">
        <f>+(S45*T44)</f>
        <v>1.375E-2</v>
      </c>
      <c r="T44" s="17">
        <f t="shared" si="1"/>
        <v>0.33</v>
      </c>
      <c r="U44" s="25"/>
      <c r="V44" s="25"/>
      <c r="W44" s="25"/>
      <c r="X44" s="25">
        <v>0.33</v>
      </c>
      <c r="Y44" s="25"/>
      <c r="Z44" s="194"/>
      <c r="AA44" s="25"/>
      <c r="AB44" s="25"/>
      <c r="AC44" s="25"/>
      <c r="AD44" s="25"/>
      <c r="AE44" s="25"/>
      <c r="AF44" s="19"/>
      <c r="AG44" s="575" t="s">
        <v>1656</v>
      </c>
      <c r="AH44" s="575"/>
      <c r="AI44" s="575"/>
    </row>
    <row r="45" spans="1:35" ht="117.65" customHeight="1" thickBot="1" x14ac:dyDescent="0.4">
      <c r="A45" s="552"/>
      <c r="B45" s="552"/>
      <c r="C45" s="566"/>
      <c r="D45" s="564"/>
      <c r="E45" s="559"/>
      <c r="F45" s="559"/>
      <c r="G45" s="559"/>
      <c r="H45" s="559"/>
      <c r="I45" s="584"/>
      <c r="J45" s="573"/>
      <c r="K45" s="573"/>
      <c r="L45" s="573"/>
      <c r="M45" s="206" t="s">
        <v>1657</v>
      </c>
      <c r="N45" s="573"/>
      <c r="O45" s="555"/>
      <c r="P45" s="557"/>
      <c r="Q45" s="557"/>
      <c r="R45" s="15" t="s">
        <v>69</v>
      </c>
      <c r="S45" s="21">
        <f>100%/24</f>
        <v>4.1666666666666664E-2</v>
      </c>
      <c r="T45" s="17">
        <f t="shared" si="1"/>
        <v>1</v>
      </c>
      <c r="U45" s="22"/>
      <c r="V45" s="22"/>
      <c r="W45" s="22"/>
      <c r="X45" s="22">
        <v>0.33</v>
      </c>
      <c r="Y45" s="22"/>
      <c r="Z45" s="22"/>
      <c r="AA45" s="22"/>
      <c r="AB45" s="22">
        <v>0.33</v>
      </c>
      <c r="AC45" s="22"/>
      <c r="AD45" s="22"/>
      <c r="AE45" s="22"/>
      <c r="AF45" s="22">
        <v>0.34</v>
      </c>
      <c r="AG45" s="576"/>
      <c r="AH45" s="576"/>
      <c r="AI45" s="576"/>
    </row>
    <row r="46" spans="1:35" ht="73.5" customHeight="1" thickBot="1" x14ac:dyDescent="0.4">
      <c r="A46" s="552"/>
      <c r="B46" s="552"/>
      <c r="C46" s="566"/>
      <c r="D46" s="564">
        <v>14</v>
      </c>
      <c r="E46" s="559" t="s">
        <v>70</v>
      </c>
      <c r="F46" s="559" t="s">
        <v>59</v>
      </c>
      <c r="G46" s="559" t="s">
        <v>60</v>
      </c>
      <c r="H46" s="559" t="s">
        <v>155</v>
      </c>
      <c r="I46" s="584"/>
      <c r="J46" s="573" t="s">
        <v>62</v>
      </c>
      <c r="K46" s="573" t="s">
        <v>1653</v>
      </c>
      <c r="L46" s="573" t="s">
        <v>1658</v>
      </c>
      <c r="M46" s="206" t="s">
        <v>1659</v>
      </c>
      <c r="N46" s="573" t="s">
        <v>1614</v>
      </c>
      <c r="O46" s="555" t="s">
        <v>224</v>
      </c>
      <c r="P46" s="557">
        <v>45383</v>
      </c>
      <c r="Q46" s="557">
        <v>45687</v>
      </c>
      <c r="R46" s="15" t="s">
        <v>68</v>
      </c>
      <c r="S46" s="16">
        <f>+(S47*T46)</f>
        <v>1.375E-2</v>
      </c>
      <c r="T46" s="17">
        <f t="shared" si="1"/>
        <v>0.33</v>
      </c>
      <c r="U46" s="25"/>
      <c r="V46" s="25"/>
      <c r="W46" s="25"/>
      <c r="X46" s="25">
        <v>0.33</v>
      </c>
      <c r="Y46" s="25"/>
      <c r="Z46" s="194"/>
      <c r="AA46" s="25"/>
      <c r="AB46" s="25"/>
      <c r="AC46" s="25"/>
      <c r="AD46" s="25"/>
      <c r="AE46" s="25"/>
      <c r="AF46" s="19"/>
      <c r="AG46" s="575" t="s">
        <v>1660</v>
      </c>
      <c r="AH46" s="575"/>
      <c r="AI46" s="575"/>
    </row>
    <row r="47" spans="1:35" ht="98.5" customHeight="1" thickBot="1" x14ac:dyDescent="0.4">
      <c r="A47" s="552"/>
      <c r="B47" s="552"/>
      <c r="C47" s="566"/>
      <c r="D47" s="564"/>
      <c r="E47" s="559"/>
      <c r="F47" s="559"/>
      <c r="G47" s="559"/>
      <c r="H47" s="559"/>
      <c r="I47" s="584"/>
      <c r="J47" s="573"/>
      <c r="K47" s="573"/>
      <c r="L47" s="573"/>
      <c r="M47" s="206" t="s">
        <v>1661</v>
      </c>
      <c r="N47" s="573"/>
      <c r="O47" s="555"/>
      <c r="P47" s="557"/>
      <c r="Q47" s="557"/>
      <c r="R47" s="15" t="s">
        <v>69</v>
      </c>
      <c r="S47" s="21">
        <f>100%/24</f>
        <v>4.1666666666666664E-2</v>
      </c>
      <c r="T47" s="17">
        <f t="shared" si="1"/>
        <v>1</v>
      </c>
      <c r="U47" s="22"/>
      <c r="V47" s="22"/>
      <c r="W47" s="22"/>
      <c r="X47" s="22">
        <v>0.33</v>
      </c>
      <c r="Y47" s="22"/>
      <c r="Z47" s="22"/>
      <c r="AA47" s="22"/>
      <c r="AB47" s="22">
        <v>0.33</v>
      </c>
      <c r="AC47" s="22"/>
      <c r="AD47" s="22"/>
      <c r="AE47" s="22"/>
      <c r="AF47" s="22">
        <v>0.34</v>
      </c>
      <c r="AG47" s="576"/>
      <c r="AH47" s="576"/>
      <c r="AI47" s="576"/>
    </row>
    <row r="48" spans="1:35" ht="73.5" customHeight="1" thickBot="1" x14ac:dyDescent="0.4">
      <c r="A48" s="552"/>
      <c r="B48" s="552"/>
      <c r="C48" s="566"/>
      <c r="D48" s="564">
        <v>15</v>
      </c>
      <c r="E48" s="559" t="s">
        <v>70</v>
      </c>
      <c r="F48" s="559" t="s">
        <v>59</v>
      </c>
      <c r="G48" s="559" t="s">
        <v>60</v>
      </c>
      <c r="H48" s="559" t="s">
        <v>155</v>
      </c>
      <c r="I48" s="584"/>
      <c r="J48" s="573" t="s">
        <v>62</v>
      </c>
      <c r="K48" s="573" t="s">
        <v>1653</v>
      </c>
      <c r="L48" s="553" t="s">
        <v>1662</v>
      </c>
      <c r="M48" s="206" t="s">
        <v>1663</v>
      </c>
      <c r="N48" s="573" t="s">
        <v>1614</v>
      </c>
      <c r="O48" s="555" t="s">
        <v>224</v>
      </c>
      <c r="P48" s="557">
        <v>45444</v>
      </c>
      <c r="Q48" s="557">
        <v>45687</v>
      </c>
      <c r="R48" s="15" t="s">
        <v>68</v>
      </c>
      <c r="S48" s="16">
        <f>+(S49*T48)</f>
        <v>1.375E-2</v>
      </c>
      <c r="T48" s="17">
        <f t="shared" si="1"/>
        <v>0.33</v>
      </c>
      <c r="U48" s="25"/>
      <c r="V48" s="25"/>
      <c r="W48" s="25"/>
      <c r="X48" s="25">
        <v>0.33</v>
      </c>
      <c r="Y48" s="25"/>
      <c r="Z48" s="194"/>
      <c r="AA48" s="25"/>
      <c r="AB48" s="25"/>
      <c r="AC48" s="25"/>
      <c r="AD48" s="25"/>
      <c r="AE48" s="25"/>
      <c r="AF48" s="19"/>
      <c r="AG48" s="575" t="s">
        <v>1664</v>
      </c>
      <c r="AH48" s="575"/>
      <c r="AI48" s="575"/>
    </row>
    <row r="49" spans="1:35" ht="73.5" customHeight="1" thickBot="1" x14ac:dyDescent="0.4">
      <c r="A49" s="552"/>
      <c r="B49" s="552"/>
      <c r="C49" s="566"/>
      <c r="D49" s="564"/>
      <c r="E49" s="559"/>
      <c r="F49" s="559"/>
      <c r="G49" s="559"/>
      <c r="H49" s="559"/>
      <c r="I49" s="584"/>
      <c r="J49" s="573"/>
      <c r="K49" s="573"/>
      <c r="L49" s="553"/>
      <c r="M49" s="204" t="s">
        <v>1665</v>
      </c>
      <c r="N49" s="573"/>
      <c r="O49" s="555"/>
      <c r="P49" s="557"/>
      <c r="Q49" s="557"/>
      <c r="R49" s="15" t="s">
        <v>69</v>
      </c>
      <c r="S49" s="21">
        <f>100%/24</f>
        <v>4.1666666666666664E-2</v>
      </c>
      <c r="T49" s="17">
        <f t="shared" si="1"/>
        <v>1</v>
      </c>
      <c r="U49" s="22"/>
      <c r="V49" s="22"/>
      <c r="W49" s="22"/>
      <c r="X49" s="22">
        <v>0.33</v>
      </c>
      <c r="Y49" s="22"/>
      <c r="Z49" s="22"/>
      <c r="AA49" s="22"/>
      <c r="AB49" s="22">
        <v>0.33</v>
      </c>
      <c r="AC49" s="22"/>
      <c r="AD49" s="22"/>
      <c r="AE49" s="22"/>
      <c r="AF49" s="22">
        <v>0.34</v>
      </c>
      <c r="AG49" s="576"/>
      <c r="AH49" s="576"/>
      <c r="AI49" s="576"/>
    </row>
    <row r="50" spans="1:35" ht="71.900000000000006" customHeight="1" thickBot="1" x14ac:dyDescent="0.4">
      <c r="A50" s="552"/>
      <c r="B50" s="552"/>
      <c r="C50" s="566"/>
      <c r="D50" s="564">
        <v>16</v>
      </c>
      <c r="E50" s="559" t="s">
        <v>70</v>
      </c>
      <c r="F50" s="559" t="s">
        <v>59</v>
      </c>
      <c r="G50" s="559" t="s">
        <v>60</v>
      </c>
      <c r="H50" s="559" t="s">
        <v>155</v>
      </c>
      <c r="I50" s="584"/>
      <c r="J50" s="573" t="s">
        <v>62</v>
      </c>
      <c r="K50" s="573" t="s">
        <v>1653</v>
      </c>
      <c r="L50" s="553" t="s">
        <v>1666</v>
      </c>
      <c r="M50" s="206" t="s">
        <v>1667</v>
      </c>
      <c r="N50" s="573" t="s">
        <v>1614</v>
      </c>
      <c r="O50" s="555" t="s">
        <v>224</v>
      </c>
      <c r="P50" s="557">
        <v>45658</v>
      </c>
      <c r="Q50" s="557">
        <v>45716</v>
      </c>
      <c r="R50" s="15" t="s">
        <v>68</v>
      </c>
      <c r="S50" s="16">
        <f>+(S51*T50)</f>
        <v>0</v>
      </c>
      <c r="T50" s="17">
        <f t="shared" si="1"/>
        <v>0</v>
      </c>
      <c r="U50" s="25"/>
      <c r="V50" s="25"/>
      <c r="W50" s="25"/>
      <c r="X50" s="25"/>
      <c r="Y50" s="25"/>
      <c r="Z50" s="194"/>
      <c r="AA50" s="25"/>
      <c r="AB50" s="25"/>
      <c r="AC50" s="25"/>
      <c r="AD50" s="25"/>
      <c r="AE50" s="25"/>
      <c r="AF50" s="19"/>
      <c r="AG50" s="583" t="s">
        <v>1624</v>
      </c>
      <c r="AH50" s="583" t="s">
        <v>1624</v>
      </c>
      <c r="AI50" s="575"/>
    </row>
    <row r="51" spans="1:35" ht="83.9" customHeight="1" thickBot="1" x14ac:dyDescent="0.4">
      <c r="A51" s="552"/>
      <c r="B51" s="552"/>
      <c r="C51" s="566"/>
      <c r="D51" s="564"/>
      <c r="E51" s="559"/>
      <c r="F51" s="559"/>
      <c r="G51" s="559"/>
      <c r="H51" s="559"/>
      <c r="I51" s="584"/>
      <c r="J51" s="573"/>
      <c r="K51" s="573"/>
      <c r="L51" s="553"/>
      <c r="M51" s="204" t="s">
        <v>1668</v>
      </c>
      <c r="N51" s="573"/>
      <c r="O51" s="555"/>
      <c r="P51" s="557"/>
      <c r="Q51" s="557"/>
      <c r="R51" s="15" t="s">
        <v>69</v>
      </c>
      <c r="S51" s="21">
        <f>100%/24</f>
        <v>4.1666666666666664E-2</v>
      </c>
      <c r="T51" s="17">
        <f t="shared" si="1"/>
        <v>1</v>
      </c>
      <c r="U51" s="22"/>
      <c r="V51" s="22"/>
      <c r="W51" s="22"/>
      <c r="X51" s="22"/>
      <c r="Y51" s="22"/>
      <c r="Z51" s="22"/>
      <c r="AA51" s="22"/>
      <c r="AB51" s="22"/>
      <c r="AC51" s="22"/>
      <c r="AD51" s="22"/>
      <c r="AE51" s="22"/>
      <c r="AF51" s="22">
        <v>1</v>
      </c>
      <c r="AG51" s="583"/>
      <c r="AH51" s="583"/>
      <c r="AI51" s="576"/>
    </row>
    <row r="52" spans="1:35" ht="73.5" customHeight="1" thickBot="1" x14ac:dyDescent="0.4">
      <c r="A52" s="552"/>
      <c r="B52" s="552"/>
      <c r="C52" s="566"/>
      <c r="D52" s="564">
        <v>17</v>
      </c>
      <c r="E52" s="559" t="s">
        <v>70</v>
      </c>
      <c r="F52" s="559" t="s">
        <v>59</v>
      </c>
      <c r="G52" s="559" t="s">
        <v>60</v>
      </c>
      <c r="H52" s="559" t="s">
        <v>155</v>
      </c>
      <c r="I52" s="584"/>
      <c r="J52" s="573" t="s">
        <v>62</v>
      </c>
      <c r="K52" s="573" t="s">
        <v>1653</v>
      </c>
      <c r="L52" s="553" t="s">
        <v>1669</v>
      </c>
      <c r="M52" s="206" t="s">
        <v>1670</v>
      </c>
      <c r="N52" s="573" t="s">
        <v>1614</v>
      </c>
      <c r="O52" s="555" t="s">
        <v>224</v>
      </c>
      <c r="P52" s="557">
        <v>45352</v>
      </c>
      <c r="Q52" s="557">
        <v>45657</v>
      </c>
      <c r="R52" s="15" t="s">
        <v>68</v>
      </c>
      <c r="S52" s="16">
        <f>+(S53*T52)</f>
        <v>1.375E-2</v>
      </c>
      <c r="T52" s="17">
        <f t="shared" si="1"/>
        <v>0.33</v>
      </c>
      <c r="U52" s="25"/>
      <c r="V52" s="25"/>
      <c r="W52" s="25"/>
      <c r="X52" s="25">
        <v>0.33</v>
      </c>
      <c r="Y52" s="25"/>
      <c r="Z52" s="194"/>
      <c r="AA52" s="25"/>
      <c r="AB52" s="25"/>
      <c r="AC52" s="25"/>
      <c r="AD52" s="25"/>
      <c r="AE52" s="25"/>
      <c r="AF52" s="19"/>
      <c r="AG52" s="575" t="s">
        <v>1671</v>
      </c>
      <c r="AH52" s="575"/>
      <c r="AI52" s="575"/>
    </row>
    <row r="53" spans="1:35" ht="73.5" customHeight="1" thickBot="1" x14ac:dyDescent="0.4">
      <c r="A53" s="552"/>
      <c r="B53" s="552"/>
      <c r="C53" s="566"/>
      <c r="D53" s="564"/>
      <c r="E53" s="559"/>
      <c r="F53" s="559"/>
      <c r="G53" s="559"/>
      <c r="H53" s="559"/>
      <c r="I53" s="584"/>
      <c r="J53" s="573"/>
      <c r="K53" s="573"/>
      <c r="L53" s="553"/>
      <c r="M53" s="206" t="s">
        <v>1672</v>
      </c>
      <c r="N53" s="573"/>
      <c r="O53" s="555"/>
      <c r="P53" s="557"/>
      <c r="Q53" s="557"/>
      <c r="R53" s="15" t="s">
        <v>69</v>
      </c>
      <c r="S53" s="21">
        <f>100%/24</f>
        <v>4.1666666666666664E-2</v>
      </c>
      <c r="T53" s="17">
        <f t="shared" si="1"/>
        <v>1</v>
      </c>
      <c r="U53" s="22"/>
      <c r="V53" s="22"/>
      <c r="W53" s="22"/>
      <c r="X53" s="22">
        <v>0.33</v>
      </c>
      <c r="Y53" s="22"/>
      <c r="Z53" s="22"/>
      <c r="AA53" s="22"/>
      <c r="AB53" s="22">
        <v>0.33</v>
      </c>
      <c r="AC53" s="22"/>
      <c r="AD53" s="22"/>
      <c r="AE53" s="22"/>
      <c r="AF53" s="22">
        <v>0.34</v>
      </c>
      <c r="AG53" s="576"/>
      <c r="AH53" s="576"/>
      <c r="AI53" s="576"/>
    </row>
    <row r="54" spans="1:35" ht="73.5" customHeight="1" thickBot="1" x14ac:dyDescent="0.4">
      <c r="A54" s="552"/>
      <c r="B54" s="552"/>
      <c r="C54" s="566"/>
      <c r="D54" s="564">
        <v>18</v>
      </c>
      <c r="E54" s="559" t="s">
        <v>70</v>
      </c>
      <c r="F54" s="559" t="s">
        <v>59</v>
      </c>
      <c r="G54" s="559" t="s">
        <v>60</v>
      </c>
      <c r="H54" s="559" t="s">
        <v>155</v>
      </c>
      <c r="I54" s="584"/>
      <c r="J54" s="573" t="s">
        <v>62</v>
      </c>
      <c r="K54" s="573" t="s">
        <v>1653</v>
      </c>
      <c r="L54" s="553" t="s">
        <v>1673</v>
      </c>
      <c r="M54" s="206" t="s">
        <v>1674</v>
      </c>
      <c r="N54" s="573" t="s">
        <v>1614</v>
      </c>
      <c r="O54" s="555" t="s">
        <v>224</v>
      </c>
      <c r="P54" s="557">
        <v>45474</v>
      </c>
      <c r="Q54" s="557">
        <v>45641</v>
      </c>
      <c r="R54" s="15" t="s">
        <v>68</v>
      </c>
      <c r="S54" s="16">
        <f>+(S55*T54)</f>
        <v>0</v>
      </c>
      <c r="T54" s="17">
        <f t="shared" si="1"/>
        <v>0</v>
      </c>
      <c r="U54" s="25"/>
      <c r="V54" s="25"/>
      <c r="W54" s="25"/>
      <c r="X54" s="25"/>
      <c r="Y54" s="25"/>
      <c r="Z54" s="194"/>
      <c r="AA54" s="25"/>
      <c r="AB54" s="25"/>
      <c r="AC54" s="25"/>
      <c r="AD54" s="25"/>
      <c r="AE54" s="25"/>
      <c r="AF54" s="19"/>
      <c r="AG54" s="583" t="s">
        <v>1624</v>
      </c>
      <c r="AH54" s="583" t="s">
        <v>1624</v>
      </c>
      <c r="AI54" s="575"/>
    </row>
    <row r="55" spans="1:35" ht="73.5" customHeight="1" thickBot="1" x14ac:dyDescent="0.4">
      <c r="A55" s="552"/>
      <c r="B55" s="552"/>
      <c r="C55" s="566"/>
      <c r="D55" s="564"/>
      <c r="E55" s="559"/>
      <c r="F55" s="559"/>
      <c r="G55" s="559"/>
      <c r="H55" s="559"/>
      <c r="I55" s="584"/>
      <c r="J55" s="573"/>
      <c r="K55" s="573"/>
      <c r="L55" s="553"/>
      <c r="M55" s="206" t="s">
        <v>1675</v>
      </c>
      <c r="N55" s="573"/>
      <c r="O55" s="555"/>
      <c r="P55" s="557"/>
      <c r="Q55" s="557"/>
      <c r="R55" s="15" t="s">
        <v>69</v>
      </c>
      <c r="S55" s="21">
        <f>100%/24</f>
        <v>4.1666666666666664E-2</v>
      </c>
      <c r="T55" s="17">
        <f t="shared" si="1"/>
        <v>1</v>
      </c>
      <c r="U55" s="22"/>
      <c r="V55" s="22"/>
      <c r="W55" s="22"/>
      <c r="X55" s="22"/>
      <c r="Y55" s="22"/>
      <c r="Z55" s="22"/>
      <c r="AA55" s="22"/>
      <c r="AB55" s="22"/>
      <c r="AC55" s="22"/>
      <c r="AD55" s="22"/>
      <c r="AE55" s="22"/>
      <c r="AF55" s="22">
        <v>1</v>
      </c>
      <c r="AG55" s="583"/>
      <c r="AH55" s="583"/>
      <c r="AI55" s="576"/>
    </row>
    <row r="56" spans="1:35" ht="80.150000000000006" customHeight="1" thickBot="1" x14ac:dyDescent="0.4">
      <c r="A56" s="552"/>
      <c r="B56" s="552"/>
      <c r="C56" s="566"/>
      <c r="D56" s="564">
        <v>19</v>
      </c>
      <c r="E56" s="559" t="s">
        <v>70</v>
      </c>
      <c r="F56" s="559" t="s">
        <v>59</v>
      </c>
      <c r="G56" s="559" t="s">
        <v>60</v>
      </c>
      <c r="H56" s="559" t="s">
        <v>155</v>
      </c>
      <c r="I56" s="584"/>
      <c r="J56" s="553" t="s">
        <v>14</v>
      </c>
      <c r="K56" s="580" t="s">
        <v>1653</v>
      </c>
      <c r="L56" s="553" t="s">
        <v>1676</v>
      </c>
      <c r="M56" s="205" t="s">
        <v>1677</v>
      </c>
      <c r="N56" s="555" t="s">
        <v>1614</v>
      </c>
      <c r="O56" s="555" t="s">
        <v>224</v>
      </c>
      <c r="P56" s="557">
        <v>45413</v>
      </c>
      <c r="Q56" s="557">
        <v>45641</v>
      </c>
      <c r="R56" s="15" t="s">
        <v>68</v>
      </c>
      <c r="S56" s="16">
        <f>+(S57*T56)</f>
        <v>0</v>
      </c>
      <c r="T56" s="17">
        <f t="shared" si="1"/>
        <v>0</v>
      </c>
      <c r="U56" s="25"/>
      <c r="V56" s="25"/>
      <c r="W56" s="25"/>
      <c r="X56" s="25"/>
      <c r="Y56" s="25"/>
      <c r="Z56" s="194"/>
      <c r="AA56" s="25"/>
      <c r="AB56" s="25"/>
      <c r="AC56" s="25"/>
      <c r="AD56" s="25"/>
      <c r="AE56" s="25"/>
      <c r="AF56" s="19"/>
      <c r="AG56" s="582" t="s">
        <v>1624</v>
      </c>
      <c r="AH56" s="575"/>
      <c r="AI56" s="575"/>
    </row>
    <row r="57" spans="1:35" ht="109" customHeight="1" thickBot="1" x14ac:dyDescent="0.4">
      <c r="A57" s="552"/>
      <c r="B57" s="552"/>
      <c r="C57" s="567"/>
      <c r="D57" s="564"/>
      <c r="E57" s="560"/>
      <c r="F57" s="560"/>
      <c r="G57" s="560"/>
      <c r="H57" s="560"/>
      <c r="I57" s="585"/>
      <c r="J57" s="554"/>
      <c r="K57" s="586"/>
      <c r="L57" s="554"/>
      <c r="M57" s="207" t="s">
        <v>1678</v>
      </c>
      <c r="N57" s="556"/>
      <c r="O57" s="556"/>
      <c r="P57" s="558"/>
      <c r="Q57" s="558"/>
      <c r="R57" s="15" t="s">
        <v>69</v>
      </c>
      <c r="S57" s="21">
        <f>100%/24</f>
        <v>4.1666666666666664E-2</v>
      </c>
      <c r="T57" s="17">
        <f t="shared" si="1"/>
        <v>1</v>
      </c>
      <c r="U57" s="22"/>
      <c r="V57" s="22"/>
      <c r="W57" s="22"/>
      <c r="X57" s="22"/>
      <c r="Y57" s="22"/>
      <c r="Z57" s="22"/>
      <c r="AA57" s="22"/>
      <c r="AB57" s="22">
        <v>0.5</v>
      </c>
      <c r="AC57" s="22"/>
      <c r="AD57" s="22"/>
      <c r="AE57" s="22"/>
      <c r="AF57" s="22">
        <v>0.5</v>
      </c>
      <c r="AG57" s="582"/>
      <c r="AH57" s="576"/>
      <c r="AI57" s="576"/>
    </row>
    <row r="58" spans="1:35" ht="73.5" customHeight="1" thickBot="1" x14ac:dyDescent="0.4">
      <c r="A58" s="552"/>
      <c r="B58" s="552"/>
      <c r="C58" s="566"/>
      <c r="D58" s="564">
        <v>20</v>
      </c>
      <c r="E58" s="559" t="s">
        <v>70</v>
      </c>
      <c r="F58" s="559" t="s">
        <v>59</v>
      </c>
      <c r="G58" s="559" t="s">
        <v>71</v>
      </c>
      <c r="H58" s="559" t="s">
        <v>72</v>
      </c>
      <c r="I58" s="577"/>
      <c r="J58" s="553" t="s">
        <v>14</v>
      </c>
      <c r="K58" s="580" t="s">
        <v>1679</v>
      </c>
      <c r="L58" s="581" t="s">
        <v>1680</v>
      </c>
      <c r="M58" s="239" t="s">
        <v>1681</v>
      </c>
      <c r="N58" s="555" t="s">
        <v>1682</v>
      </c>
      <c r="O58" s="555" t="s">
        <v>224</v>
      </c>
      <c r="P58" s="557">
        <v>45413</v>
      </c>
      <c r="Q58" s="557">
        <v>45641</v>
      </c>
      <c r="R58" s="15" t="s">
        <v>68</v>
      </c>
      <c r="S58" s="16">
        <f>+(S59*T58)</f>
        <v>0</v>
      </c>
      <c r="T58" s="17">
        <f t="shared" si="1"/>
        <v>0</v>
      </c>
      <c r="U58" s="25"/>
      <c r="V58" s="25"/>
      <c r="W58" s="25"/>
      <c r="X58" s="25"/>
      <c r="Y58" s="25"/>
      <c r="Z58" s="194"/>
      <c r="AA58" s="25"/>
      <c r="AB58" s="25"/>
      <c r="AC58" s="25"/>
      <c r="AD58" s="25"/>
      <c r="AE58" s="25"/>
      <c r="AF58" s="19"/>
      <c r="AG58" s="582" t="s">
        <v>1624</v>
      </c>
      <c r="AH58" s="575"/>
      <c r="AI58" s="575"/>
    </row>
    <row r="59" spans="1:35" ht="73.5" customHeight="1" thickBot="1" x14ac:dyDescent="0.4">
      <c r="A59" s="552"/>
      <c r="B59" s="552"/>
      <c r="C59" s="579"/>
      <c r="D59" s="564"/>
      <c r="E59" s="559"/>
      <c r="F59" s="559"/>
      <c r="G59" s="559"/>
      <c r="H59" s="559"/>
      <c r="I59" s="577"/>
      <c r="J59" s="553"/>
      <c r="K59" s="580"/>
      <c r="L59" s="581"/>
      <c r="M59" s="239" t="s">
        <v>1683</v>
      </c>
      <c r="N59" s="555"/>
      <c r="O59" s="555"/>
      <c r="P59" s="557"/>
      <c r="Q59" s="557"/>
      <c r="R59" s="15" t="s">
        <v>69</v>
      </c>
      <c r="S59" s="21">
        <f>100%/24</f>
        <v>4.1666666666666664E-2</v>
      </c>
      <c r="T59" s="17">
        <f t="shared" si="1"/>
        <v>1</v>
      </c>
      <c r="U59" s="22"/>
      <c r="V59" s="22"/>
      <c r="W59" s="22"/>
      <c r="X59" s="22"/>
      <c r="Y59" s="22"/>
      <c r="Z59" s="22"/>
      <c r="AA59" s="22"/>
      <c r="AB59" s="22">
        <v>0.5</v>
      </c>
      <c r="AC59" s="22"/>
      <c r="AD59" s="22"/>
      <c r="AE59" s="22"/>
      <c r="AF59" s="22">
        <v>0.5</v>
      </c>
      <c r="AG59" s="582"/>
      <c r="AH59" s="576"/>
      <c r="AI59" s="576"/>
    </row>
    <row r="60" spans="1:35" ht="103.5" customHeight="1" thickBot="1" x14ac:dyDescent="0.4">
      <c r="A60" s="552"/>
      <c r="B60" s="552"/>
      <c r="C60" s="572"/>
      <c r="D60" s="564">
        <v>21</v>
      </c>
      <c r="E60" s="559" t="s">
        <v>70</v>
      </c>
      <c r="F60" s="559" t="s">
        <v>59</v>
      </c>
      <c r="G60" s="559" t="s">
        <v>71</v>
      </c>
      <c r="H60" s="559" t="s">
        <v>72</v>
      </c>
      <c r="I60" s="577"/>
      <c r="J60" s="553" t="s">
        <v>105</v>
      </c>
      <c r="K60" s="553" t="s">
        <v>1679</v>
      </c>
      <c r="L60" s="553" t="s">
        <v>1684</v>
      </c>
      <c r="M60" s="573" t="s">
        <v>1685</v>
      </c>
      <c r="N60" s="555" t="s">
        <v>1682</v>
      </c>
      <c r="O60" s="555" t="s">
        <v>224</v>
      </c>
      <c r="P60" s="557">
        <v>45292</v>
      </c>
      <c r="Q60" s="557">
        <v>45641</v>
      </c>
      <c r="R60" s="15" t="s">
        <v>68</v>
      </c>
      <c r="S60" s="16">
        <f>+(S61*T60)</f>
        <v>1.375E-2</v>
      </c>
      <c r="T60" s="17">
        <f t="shared" si="1"/>
        <v>0.33</v>
      </c>
      <c r="U60" s="25"/>
      <c r="V60" s="25"/>
      <c r="W60" s="25"/>
      <c r="X60" s="25">
        <v>0.33</v>
      </c>
      <c r="Y60" s="25"/>
      <c r="Z60" s="194"/>
      <c r="AA60" s="25"/>
      <c r="AB60" s="25"/>
      <c r="AC60" s="25"/>
      <c r="AD60" s="25"/>
      <c r="AE60" s="25"/>
      <c r="AF60" s="19"/>
      <c r="AG60" s="575" t="s">
        <v>1686</v>
      </c>
      <c r="AH60" s="575"/>
      <c r="AI60" s="575"/>
    </row>
    <row r="61" spans="1:35" ht="138" customHeight="1" thickBot="1" x14ac:dyDescent="0.4">
      <c r="A61" s="552"/>
      <c r="B61" s="552"/>
      <c r="C61" s="566"/>
      <c r="D61" s="564"/>
      <c r="E61" s="560"/>
      <c r="F61" s="560"/>
      <c r="G61" s="560"/>
      <c r="H61" s="560"/>
      <c r="I61" s="578"/>
      <c r="J61" s="554"/>
      <c r="K61" s="554"/>
      <c r="L61" s="554"/>
      <c r="M61" s="574"/>
      <c r="N61" s="556"/>
      <c r="O61" s="556"/>
      <c r="P61" s="558"/>
      <c r="Q61" s="558"/>
      <c r="R61" s="15" t="s">
        <v>69</v>
      </c>
      <c r="S61" s="21">
        <f>100%/24</f>
        <v>4.1666666666666664E-2</v>
      </c>
      <c r="T61" s="17">
        <f t="shared" si="1"/>
        <v>1</v>
      </c>
      <c r="U61" s="22"/>
      <c r="V61" s="22"/>
      <c r="W61" s="22"/>
      <c r="X61" s="22">
        <v>0.33</v>
      </c>
      <c r="Y61" s="22"/>
      <c r="Z61" s="22"/>
      <c r="AA61" s="22"/>
      <c r="AB61" s="22">
        <v>0.33</v>
      </c>
      <c r="AC61" s="22"/>
      <c r="AD61" s="22"/>
      <c r="AE61" s="22"/>
      <c r="AF61" s="22">
        <v>0.34</v>
      </c>
      <c r="AG61" s="576"/>
      <c r="AH61" s="576"/>
      <c r="AI61" s="576"/>
    </row>
    <row r="62" spans="1:35" ht="73.5" customHeight="1" thickBot="1" x14ac:dyDescent="0.4">
      <c r="A62" s="552"/>
      <c r="B62" s="552"/>
      <c r="C62" s="565"/>
      <c r="D62" s="564">
        <v>22</v>
      </c>
      <c r="E62" s="568" t="s">
        <v>70</v>
      </c>
      <c r="F62" s="568" t="s">
        <v>59</v>
      </c>
      <c r="G62" s="568" t="s">
        <v>90</v>
      </c>
      <c r="H62" s="568" t="s">
        <v>127</v>
      </c>
      <c r="I62" s="569" t="s">
        <v>1687</v>
      </c>
      <c r="J62" s="500" t="s">
        <v>73</v>
      </c>
      <c r="K62" s="500" t="s">
        <v>1688</v>
      </c>
      <c r="L62" s="500" t="s">
        <v>1689</v>
      </c>
      <c r="M62" s="212" t="s">
        <v>1690</v>
      </c>
      <c r="N62" s="561" t="s">
        <v>1691</v>
      </c>
      <c r="O62" s="561" t="s">
        <v>224</v>
      </c>
      <c r="P62" s="562">
        <v>45292</v>
      </c>
      <c r="Q62" s="562">
        <v>45641</v>
      </c>
      <c r="R62" s="15" t="s">
        <v>68</v>
      </c>
      <c r="S62" s="16">
        <f>+(S63*T62)</f>
        <v>1.375E-2</v>
      </c>
      <c r="T62" s="17">
        <f t="shared" si="1"/>
        <v>0.33</v>
      </c>
      <c r="U62" s="25"/>
      <c r="V62" s="25"/>
      <c r="W62" s="25"/>
      <c r="X62" s="25">
        <v>0.33</v>
      </c>
      <c r="Y62" s="25"/>
      <c r="Z62" s="194"/>
      <c r="AA62" s="25"/>
      <c r="AB62" s="25"/>
      <c r="AC62" s="25"/>
      <c r="AD62" s="25"/>
      <c r="AE62" s="25"/>
      <c r="AF62" s="19"/>
      <c r="AG62" s="575" t="s">
        <v>1692</v>
      </c>
      <c r="AH62" s="575"/>
      <c r="AI62" s="575"/>
    </row>
    <row r="63" spans="1:35" ht="73.5" customHeight="1" thickBot="1" x14ac:dyDescent="0.4">
      <c r="A63" s="552"/>
      <c r="B63" s="552"/>
      <c r="C63" s="566"/>
      <c r="D63" s="564"/>
      <c r="E63" s="559"/>
      <c r="F63" s="559"/>
      <c r="G63" s="559"/>
      <c r="H63" s="559"/>
      <c r="I63" s="570"/>
      <c r="J63" s="553"/>
      <c r="K63" s="553"/>
      <c r="L63" s="553"/>
      <c r="M63" s="205" t="s">
        <v>1693</v>
      </c>
      <c r="N63" s="555"/>
      <c r="O63" s="555"/>
      <c r="P63" s="557"/>
      <c r="Q63" s="557"/>
      <c r="R63" s="15" t="s">
        <v>69</v>
      </c>
      <c r="S63" s="21">
        <f>100%/24</f>
        <v>4.1666666666666664E-2</v>
      </c>
      <c r="T63" s="17">
        <f t="shared" si="1"/>
        <v>1</v>
      </c>
      <c r="U63" s="22"/>
      <c r="V63" s="22"/>
      <c r="W63" s="22"/>
      <c r="X63" s="22">
        <v>0.33</v>
      </c>
      <c r="Y63" s="22"/>
      <c r="Z63" s="22"/>
      <c r="AA63" s="22"/>
      <c r="AB63" s="22">
        <v>0.33</v>
      </c>
      <c r="AC63" s="22"/>
      <c r="AD63" s="22"/>
      <c r="AE63" s="22"/>
      <c r="AF63" s="22">
        <v>0.34</v>
      </c>
      <c r="AG63" s="576"/>
      <c r="AH63" s="576"/>
      <c r="AI63" s="576"/>
    </row>
    <row r="64" spans="1:35" ht="73.5" customHeight="1" thickBot="1" x14ac:dyDescent="0.4">
      <c r="A64" s="552"/>
      <c r="B64" s="552"/>
      <c r="C64" s="566"/>
      <c r="D64" s="564">
        <v>23</v>
      </c>
      <c r="E64" s="559" t="s">
        <v>70</v>
      </c>
      <c r="F64" s="559" t="s">
        <v>59</v>
      </c>
      <c r="G64" s="559" t="s">
        <v>90</v>
      </c>
      <c r="H64" s="559" t="s">
        <v>127</v>
      </c>
      <c r="I64" s="570"/>
      <c r="J64" s="553" t="s">
        <v>73</v>
      </c>
      <c r="K64" s="553" t="s">
        <v>1688</v>
      </c>
      <c r="L64" s="553" t="s">
        <v>1694</v>
      </c>
      <c r="M64" s="555" t="s">
        <v>1695</v>
      </c>
      <c r="N64" s="563" t="s">
        <v>1696</v>
      </c>
      <c r="O64" s="555" t="s">
        <v>224</v>
      </c>
      <c r="P64" s="557">
        <v>45292</v>
      </c>
      <c r="Q64" s="557">
        <v>45641</v>
      </c>
      <c r="R64" s="15" t="s">
        <v>68</v>
      </c>
      <c r="S64" s="16">
        <f>+(S65*T64)</f>
        <v>1.375E-2</v>
      </c>
      <c r="T64" s="17">
        <f t="shared" si="1"/>
        <v>0.33</v>
      </c>
      <c r="U64" s="25"/>
      <c r="V64" s="25"/>
      <c r="W64" s="25"/>
      <c r="X64" s="25">
        <v>0.33</v>
      </c>
      <c r="Y64" s="25"/>
      <c r="Z64" s="194"/>
      <c r="AA64" s="25"/>
      <c r="AB64" s="25"/>
      <c r="AC64" s="25"/>
      <c r="AD64" s="25"/>
      <c r="AE64" s="25"/>
      <c r="AF64" s="19"/>
      <c r="AG64" s="575" t="s">
        <v>1697</v>
      </c>
      <c r="AH64" s="575"/>
      <c r="AI64" s="575"/>
    </row>
    <row r="65" spans="1:35" ht="73.5" customHeight="1" thickBot="1" x14ac:dyDescent="0.4">
      <c r="A65" s="552"/>
      <c r="B65" s="552"/>
      <c r="C65" s="566"/>
      <c r="D65" s="564"/>
      <c r="E65" s="559"/>
      <c r="F65" s="559"/>
      <c r="G65" s="559"/>
      <c r="H65" s="559"/>
      <c r="I65" s="570"/>
      <c r="J65" s="553"/>
      <c r="K65" s="553"/>
      <c r="L65" s="553"/>
      <c r="M65" s="555"/>
      <c r="N65" s="563"/>
      <c r="O65" s="555"/>
      <c r="P65" s="557"/>
      <c r="Q65" s="557"/>
      <c r="R65" s="15" t="s">
        <v>69</v>
      </c>
      <c r="S65" s="21">
        <f>100%/24</f>
        <v>4.1666666666666664E-2</v>
      </c>
      <c r="T65" s="17">
        <f t="shared" si="1"/>
        <v>1</v>
      </c>
      <c r="U65" s="22"/>
      <c r="V65" s="22"/>
      <c r="W65" s="22"/>
      <c r="X65" s="22">
        <v>0.33</v>
      </c>
      <c r="Y65" s="22"/>
      <c r="Z65" s="22"/>
      <c r="AA65" s="22"/>
      <c r="AB65" s="22">
        <v>0.33</v>
      </c>
      <c r="AC65" s="22"/>
      <c r="AD65" s="22"/>
      <c r="AE65" s="22"/>
      <c r="AF65" s="22">
        <v>0.34</v>
      </c>
      <c r="AG65" s="576"/>
      <c r="AH65" s="576"/>
      <c r="AI65" s="576"/>
    </row>
    <row r="66" spans="1:35" ht="73.5" customHeight="1" thickBot="1" x14ac:dyDescent="0.4">
      <c r="A66" s="552"/>
      <c r="B66" s="552"/>
      <c r="C66" s="566"/>
      <c r="D66" s="564">
        <v>24</v>
      </c>
      <c r="E66" s="559" t="s">
        <v>70</v>
      </c>
      <c r="F66" s="559" t="s">
        <v>59</v>
      </c>
      <c r="G66" s="559" t="s">
        <v>90</v>
      </c>
      <c r="H66" s="559" t="s">
        <v>127</v>
      </c>
      <c r="I66" s="570"/>
      <c r="J66" s="553" t="s">
        <v>92</v>
      </c>
      <c r="K66" s="553" t="s">
        <v>1698</v>
      </c>
      <c r="L66" s="553" t="s">
        <v>1699</v>
      </c>
      <c r="M66" s="205" t="s">
        <v>1700</v>
      </c>
      <c r="N66" s="555" t="s">
        <v>1701</v>
      </c>
      <c r="O66" s="555" t="s">
        <v>224</v>
      </c>
      <c r="P66" s="557">
        <v>45413</v>
      </c>
      <c r="Q66" s="557">
        <v>45641</v>
      </c>
      <c r="R66" s="15" t="s">
        <v>68</v>
      </c>
      <c r="S66" s="16">
        <f>+(S67*T66)</f>
        <v>0</v>
      </c>
      <c r="T66" s="17">
        <f t="shared" si="1"/>
        <v>0</v>
      </c>
      <c r="U66" s="25"/>
      <c r="V66" s="25"/>
      <c r="W66" s="25"/>
      <c r="X66" s="25"/>
      <c r="Y66" s="25"/>
      <c r="Z66" s="194"/>
      <c r="AA66" s="25"/>
      <c r="AB66" s="25"/>
      <c r="AC66" s="25"/>
      <c r="AD66" s="25"/>
      <c r="AE66" s="25"/>
      <c r="AF66" s="19"/>
      <c r="AG66" s="582" t="s">
        <v>1624</v>
      </c>
      <c r="AH66" s="575"/>
      <c r="AI66" s="575"/>
    </row>
    <row r="67" spans="1:35" ht="73.5" customHeight="1" thickBot="1" x14ac:dyDescent="0.4">
      <c r="A67" s="552"/>
      <c r="B67" s="552"/>
      <c r="C67" s="567"/>
      <c r="D67" s="564"/>
      <c r="E67" s="560"/>
      <c r="F67" s="560"/>
      <c r="G67" s="560"/>
      <c r="H67" s="560"/>
      <c r="I67" s="571"/>
      <c r="J67" s="554"/>
      <c r="K67" s="554"/>
      <c r="L67" s="554"/>
      <c r="M67" s="207" t="s">
        <v>1702</v>
      </c>
      <c r="N67" s="556"/>
      <c r="O67" s="556"/>
      <c r="P67" s="558"/>
      <c r="Q67" s="558"/>
      <c r="R67" s="15" t="s">
        <v>69</v>
      </c>
      <c r="S67" s="21">
        <f>100%/24</f>
        <v>4.1666666666666664E-2</v>
      </c>
      <c r="T67" s="17">
        <f t="shared" si="1"/>
        <v>1</v>
      </c>
      <c r="U67" s="22"/>
      <c r="V67" s="22"/>
      <c r="W67" s="22"/>
      <c r="X67" s="22"/>
      <c r="Y67" s="22"/>
      <c r="Z67" s="22"/>
      <c r="AA67" s="22"/>
      <c r="AB67" s="22">
        <v>0.5</v>
      </c>
      <c r="AC67" s="22"/>
      <c r="AD67" s="22"/>
      <c r="AE67" s="22"/>
      <c r="AF67" s="22">
        <v>0.5</v>
      </c>
      <c r="AG67" s="582"/>
      <c r="AH67" s="576"/>
      <c r="AI67" s="576"/>
    </row>
    <row r="68" spans="1:35" s="210" customFormat="1" ht="77.150000000000006" customHeight="1" x14ac:dyDescent="0.6">
      <c r="A68" s="551"/>
      <c r="B68" s="551"/>
      <c r="C68" s="208"/>
      <c r="D68" s="208"/>
      <c r="E68" s="208"/>
      <c r="F68" s="208"/>
      <c r="G68" s="208"/>
      <c r="H68" s="208"/>
      <c r="I68" s="208"/>
      <c r="J68" s="208"/>
      <c r="K68" s="208"/>
      <c r="L68" s="208"/>
      <c r="M68" s="208"/>
      <c r="N68" s="208"/>
      <c r="O68" s="208"/>
      <c r="P68" s="208"/>
      <c r="Q68" s="208"/>
      <c r="R68" s="201"/>
      <c r="S68" s="208"/>
      <c r="T68" s="208"/>
      <c r="U68" s="208"/>
      <c r="V68" s="208"/>
      <c r="W68" s="201"/>
      <c r="X68" s="201"/>
      <c r="Y68" s="209"/>
      <c r="Z68" s="209"/>
      <c r="AA68" s="209"/>
      <c r="AB68" s="209"/>
      <c r="AC68" s="209"/>
      <c r="AD68" s="201"/>
      <c r="AE68" s="201"/>
      <c r="AF68" s="201"/>
      <c r="AG68" s="208"/>
      <c r="AH68" s="208"/>
      <c r="AI68" s="208"/>
    </row>
    <row r="69" spans="1:35" s="210" customFormat="1" ht="26" hidden="1" x14ac:dyDescent="0.6">
      <c r="A69" s="551"/>
      <c r="B69" s="551"/>
      <c r="C69" s="208"/>
      <c r="D69" s="208"/>
      <c r="E69" s="270" t="s">
        <v>26</v>
      </c>
      <c r="F69" s="270" t="s">
        <v>27</v>
      </c>
      <c r="G69" s="270" t="s">
        <v>28</v>
      </c>
      <c r="H69" s="270" t="s">
        <v>29</v>
      </c>
      <c r="I69" s="270" t="s">
        <v>30</v>
      </c>
      <c r="J69" s="268" t="s">
        <v>31</v>
      </c>
      <c r="K69" s="13"/>
      <c r="L69" s="13"/>
      <c r="M69" s="13"/>
      <c r="N69" s="13"/>
      <c r="O69" s="13"/>
      <c r="P69" s="268" t="s">
        <v>121</v>
      </c>
      <c r="Q69" s="208"/>
      <c r="R69" s="201"/>
      <c r="S69" s="208"/>
      <c r="T69" s="208"/>
      <c r="U69" s="208"/>
      <c r="V69" s="208"/>
      <c r="W69" s="201"/>
      <c r="X69" s="201"/>
      <c r="Y69" s="209"/>
      <c r="Z69" s="209"/>
      <c r="AA69" s="209"/>
      <c r="AB69" s="209"/>
      <c r="AC69" s="209"/>
      <c r="AD69" s="201"/>
      <c r="AE69" s="201"/>
      <c r="AF69" s="201"/>
      <c r="AG69" s="208"/>
      <c r="AH69" s="208"/>
      <c r="AI69" s="208"/>
    </row>
    <row r="70" spans="1:35" s="210" customFormat="1" ht="26" hidden="1" x14ac:dyDescent="0.6">
      <c r="A70" s="551"/>
      <c r="B70" s="551"/>
      <c r="C70" s="208"/>
      <c r="D70" s="208"/>
      <c r="E70" s="269"/>
      <c r="F70" s="269"/>
      <c r="G70" s="269"/>
      <c r="H70" s="269"/>
      <c r="I70" s="269"/>
      <c r="J70" s="269"/>
      <c r="K70" s="13"/>
      <c r="L70" s="13"/>
      <c r="M70" s="13"/>
      <c r="N70" s="13"/>
      <c r="O70" s="13"/>
      <c r="P70" s="269"/>
      <c r="Q70" s="208"/>
      <c r="R70" s="201"/>
      <c r="S70" s="208"/>
      <c r="T70" s="208"/>
      <c r="U70" s="208"/>
      <c r="V70" s="208"/>
      <c r="W70" s="201"/>
      <c r="X70" s="201"/>
      <c r="Y70" s="209"/>
      <c r="Z70" s="209"/>
      <c r="AA70" s="209"/>
      <c r="AB70" s="209"/>
      <c r="AC70" s="209"/>
      <c r="AD70" s="201"/>
      <c r="AE70" s="201"/>
      <c r="AF70" s="201"/>
      <c r="AG70" s="208"/>
      <c r="AH70" s="208"/>
      <c r="AI70" s="208"/>
    </row>
    <row r="71" spans="1:35" hidden="1" x14ac:dyDescent="0.35">
      <c r="E71" s="13" t="s">
        <v>70</v>
      </c>
      <c r="F71" s="13" t="s">
        <v>122</v>
      </c>
      <c r="G71" s="13" t="s">
        <v>90</v>
      </c>
      <c r="H71" s="13" t="s">
        <v>91</v>
      </c>
      <c r="I71" s="13" t="s">
        <v>123</v>
      </c>
      <c r="J71" s="13" t="s">
        <v>124</v>
      </c>
      <c r="K71" s="13"/>
      <c r="L71" s="13"/>
      <c r="M71" s="13"/>
      <c r="N71" s="13"/>
      <c r="O71" s="13"/>
      <c r="P71" s="13" t="s">
        <v>125</v>
      </c>
    </row>
    <row r="72" spans="1:35" hidden="1" x14ac:dyDescent="0.35">
      <c r="E72" s="13" t="s">
        <v>94</v>
      </c>
      <c r="F72" s="13" t="s">
        <v>89</v>
      </c>
      <c r="G72" s="13" t="s">
        <v>126</v>
      </c>
      <c r="H72" s="13" t="s">
        <v>127</v>
      </c>
      <c r="I72" s="13" t="s">
        <v>128</v>
      </c>
      <c r="J72" s="13" t="s">
        <v>129</v>
      </c>
      <c r="K72" s="13"/>
      <c r="L72" s="13"/>
      <c r="M72" s="13"/>
      <c r="N72" s="13"/>
      <c r="O72" s="13"/>
      <c r="P72" s="13" t="s">
        <v>67</v>
      </c>
    </row>
    <row r="73" spans="1:35" hidden="1" x14ac:dyDescent="0.35">
      <c r="E73" s="13" t="s">
        <v>58</v>
      </c>
      <c r="F73" s="13" t="s">
        <v>77</v>
      </c>
      <c r="G73" s="13" t="s">
        <v>60</v>
      </c>
      <c r="H73" s="13" t="s">
        <v>130</v>
      </c>
      <c r="I73" s="13" t="s">
        <v>131</v>
      </c>
      <c r="J73" s="13" t="s">
        <v>132</v>
      </c>
      <c r="K73" s="13"/>
      <c r="L73" s="13"/>
      <c r="M73" s="13"/>
      <c r="N73" s="13"/>
      <c r="O73" s="13"/>
      <c r="P73" s="13" t="s">
        <v>133</v>
      </c>
    </row>
    <row r="74" spans="1:35" hidden="1" x14ac:dyDescent="0.35">
      <c r="E74" s="13" t="s">
        <v>76</v>
      </c>
      <c r="F74" s="13" t="s">
        <v>82</v>
      </c>
      <c r="G74" s="13" t="s">
        <v>134</v>
      </c>
      <c r="H74" s="13" t="s">
        <v>135</v>
      </c>
      <c r="I74" s="13" t="s">
        <v>136</v>
      </c>
      <c r="J74" s="13" t="s">
        <v>137</v>
      </c>
      <c r="K74" s="13"/>
      <c r="L74" s="13"/>
      <c r="M74" s="13"/>
      <c r="N74" s="13"/>
      <c r="O74" s="13"/>
      <c r="P74" s="13"/>
    </row>
    <row r="75" spans="1:35" hidden="1" x14ac:dyDescent="0.35">
      <c r="E75" s="13" t="s">
        <v>81</v>
      </c>
      <c r="F75" s="13" t="s">
        <v>98</v>
      </c>
      <c r="G75" s="13" t="s">
        <v>71</v>
      </c>
      <c r="H75" s="13" t="s">
        <v>138</v>
      </c>
      <c r="I75" s="13" t="s">
        <v>139</v>
      </c>
      <c r="J75" s="13" t="s">
        <v>140</v>
      </c>
      <c r="K75" s="13"/>
      <c r="L75" s="13"/>
      <c r="M75" s="13"/>
      <c r="N75" s="13"/>
      <c r="O75" s="13"/>
      <c r="P75" s="13"/>
    </row>
    <row r="76" spans="1:35" hidden="1" x14ac:dyDescent="0.35">
      <c r="E76" s="13" t="s">
        <v>141</v>
      </c>
      <c r="F76" s="13" t="s">
        <v>142</v>
      </c>
      <c r="G76" s="13" t="s">
        <v>78</v>
      </c>
      <c r="H76" s="13" t="s">
        <v>104</v>
      </c>
      <c r="I76" s="13" t="s">
        <v>143</v>
      </c>
      <c r="J76" s="13" t="s">
        <v>87</v>
      </c>
      <c r="K76" s="13"/>
      <c r="L76" s="13"/>
      <c r="M76" s="13"/>
      <c r="N76" s="13"/>
      <c r="O76" s="13"/>
      <c r="P76" s="13"/>
    </row>
    <row r="77" spans="1:35" hidden="1" x14ac:dyDescent="0.35">
      <c r="E77" s="13" t="s">
        <v>144</v>
      </c>
      <c r="F77" s="13" t="s">
        <v>145</v>
      </c>
      <c r="G77" s="13" t="s">
        <v>146</v>
      </c>
      <c r="H77" s="13" t="s">
        <v>83</v>
      </c>
      <c r="I77" s="13" t="s">
        <v>147</v>
      </c>
      <c r="J77" s="13" t="s">
        <v>148</v>
      </c>
      <c r="K77" s="13"/>
      <c r="L77" s="13"/>
      <c r="M77" s="13"/>
      <c r="N77" s="13"/>
      <c r="O77" s="13"/>
      <c r="P77" s="13"/>
    </row>
    <row r="78" spans="1:35" hidden="1" x14ac:dyDescent="0.35">
      <c r="E78" s="13" t="s">
        <v>149</v>
      </c>
      <c r="F78" s="13" t="s">
        <v>150</v>
      </c>
      <c r="G78" s="13"/>
      <c r="H78" s="13" t="s">
        <v>86</v>
      </c>
      <c r="I78" s="13" t="s">
        <v>151</v>
      </c>
      <c r="J78" s="13" t="s">
        <v>105</v>
      </c>
      <c r="K78" s="13"/>
      <c r="L78" s="13"/>
      <c r="M78" s="13"/>
      <c r="N78" s="13"/>
      <c r="O78" s="13"/>
      <c r="P78" s="13"/>
    </row>
    <row r="79" spans="1:35" hidden="1" x14ac:dyDescent="0.35">
      <c r="E79" s="13"/>
      <c r="F79" s="13" t="s">
        <v>103</v>
      </c>
      <c r="G79" s="13"/>
      <c r="H79" s="13" t="s">
        <v>95</v>
      </c>
      <c r="I79" s="13" t="s">
        <v>152</v>
      </c>
      <c r="J79" s="13" t="s">
        <v>73</v>
      </c>
      <c r="K79" s="13"/>
      <c r="L79" s="13"/>
      <c r="M79" s="13"/>
      <c r="N79" s="13"/>
      <c r="O79" s="13"/>
      <c r="P79" s="13"/>
    </row>
    <row r="80" spans="1:35" hidden="1" x14ac:dyDescent="0.35">
      <c r="E80" s="13"/>
      <c r="F80" s="13" t="s">
        <v>59</v>
      </c>
      <c r="G80" s="13"/>
      <c r="H80" s="13" t="s">
        <v>153</v>
      </c>
      <c r="I80" s="13" t="s">
        <v>154</v>
      </c>
      <c r="J80" s="13" t="s">
        <v>92</v>
      </c>
      <c r="K80" s="13"/>
      <c r="L80" s="13"/>
      <c r="M80" s="13"/>
      <c r="N80" s="13"/>
      <c r="O80" s="13"/>
      <c r="P80" s="13"/>
    </row>
    <row r="81" spans="5:16" hidden="1" x14ac:dyDescent="0.35">
      <c r="E81" s="13"/>
      <c r="F81" s="13"/>
      <c r="G81" s="13"/>
      <c r="H81" s="13" t="s">
        <v>155</v>
      </c>
      <c r="I81" s="13" t="s">
        <v>156</v>
      </c>
      <c r="J81" s="13" t="s">
        <v>100</v>
      </c>
      <c r="K81" s="13"/>
      <c r="L81" s="13"/>
      <c r="M81" s="13"/>
      <c r="N81" s="13"/>
      <c r="O81" s="13"/>
      <c r="P81" s="13"/>
    </row>
    <row r="82" spans="5:16" hidden="1" x14ac:dyDescent="0.35">
      <c r="E82" s="13"/>
      <c r="F82" s="13"/>
      <c r="G82" s="13"/>
      <c r="H82" s="13" t="s">
        <v>157</v>
      </c>
      <c r="I82" s="13" t="s">
        <v>158</v>
      </c>
      <c r="J82" s="13" t="s">
        <v>159</v>
      </c>
      <c r="K82" s="13"/>
      <c r="L82" s="13"/>
      <c r="M82" s="13"/>
      <c r="N82" s="13"/>
      <c r="O82" s="13"/>
      <c r="P82" s="13"/>
    </row>
    <row r="83" spans="5:16" hidden="1" x14ac:dyDescent="0.35">
      <c r="E83" s="13"/>
      <c r="F83" s="13"/>
      <c r="G83" s="13"/>
      <c r="H83" s="13" t="s">
        <v>61</v>
      </c>
      <c r="I83" s="13"/>
      <c r="J83" s="13" t="s">
        <v>160</v>
      </c>
      <c r="K83" s="13"/>
      <c r="L83" s="13"/>
      <c r="M83" s="13"/>
      <c r="N83" s="13"/>
      <c r="O83" s="13"/>
      <c r="P83" s="13"/>
    </row>
    <row r="84" spans="5:16" hidden="1" x14ac:dyDescent="0.35">
      <c r="E84" s="13"/>
      <c r="F84" s="13"/>
      <c r="G84" s="13"/>
      <c r="H84" s="13" t="s">
        <v>161</v>
      </c>
      <c r="I84" s="13"/>
      <c r="J84" s="13" t="s">
        <v>162</v>
      </c>
      <c r="K84" s="13"/>
      <c r="L84" s="13"/>
      <c r="M84" s="13"/>
      <c r="N84" s="13"/>
      <c r="O84" s="13"/>
      <c r="P84" s="13"/>
    </row>
    <row r="85" spans="5:16" hidden="1" x14ac:dyDescent="0.35">
      <c r="E85" s="13"/>
      <c r="F85" s="13"/>
      <c r="G85" s="13"/>
      <c r="H85" s="13" t="s">
        <v>72</v>
      </c>
      <c r="I85" s="13"/>
      <c r="J85" s="13" t="s">
        <v>163</v>
      </c>
      <c r="K85" s="13"/>
      <c r="L85" s="13"/>
      <c r="M85" s="13"/>
      <c r="N85" s="13"/>
      <c r="O85" s="13"/>
      <c r="P85" s="13"/>
    </row>
    <row r="86" spans="5:16" hidden="1" x14ac:dyDescent="0.35">
      <c r="E86" s="13"/>
      <c r="F86" s="13"/>
      <c r="G86" s="13"/>
      <c r="H86" s="13" t="s">
        <v>99</v>
      </c>
      <c r="I86" s="13"/>
      <c r="J86" s="13" t="s">
        <v>164</v>
      </c>
      <c r="K86" s="13"/>
      <c r="L86" s="13"/>
      <c r="M86" s="13"/>
      <c r="N86" s="13"/>
      <c r="O86" s="13"/>
      <c r="P86" s="13"/>
    </row>
    <row r="87" spans="5:16" hidden="1" x14ac:dyDescent="0.35">
      <c r="E87" s="13"/>
      <c r="F87" s="13"/>
      <c r="G87" s="13"/>
      <c r="H87" s="13" t="s">
        <v>165</v>
      </c>
      <c r="I87" s="13"/>
      <c r="J87" s="13" t="s">
        <v>166</v>
      </c>
      <c r="K87" s="13"/>
      <c r="L87" s="13"/>
      <c r="M87" s="13"/>
      <c r="N87" s="13"/>
      <c r="O87" s="13"/>
      <c r="P87" s="13"/>
    </row>
    <row r="88" spans="5:16" hidden="1" x14ac:dyDescent="0.35">
      <c r="E88" s="13"/>
      <c r="F88" s="13"/>
      <c r="G88" s="13"/>
      <c r="H88" s="13" t="s">
        <v>79</v>
      </c>
      <c r="I88" s="13"/>
      <c r="J88" s="13" t="s">
        <v>167</v>
      </c>
      <c r="K88" s="13"/>
      <c r="L88" s="13"/>
      <c r="M88" s="13"/>
      <c r="N88" s="13"/>
      <c r="O88" s="13"/>
      <c r="P88" s="13"/>
    </row>
    <row r="89" spans="5:16" hidden="1" x14ac:dyDescent="0.35">
      <c r="E89" s="13"/>
      <c r="F89" s="13"/>
      <c r="G89" s="13"/>
      <c r="H89" s="13" t="s">
        <v>168</v>
      </c>
      <c r="I89" s="13"/>
      <c r="J89" s="13" t="s">
        <v>169</v>
      </c>
      <c r="K89" s="13"/>
      <c r="L89" s="13"/>
      <c r="M89" s="13"/>
      <c r="N89" s="13"/>
      <c r="O89" s="13"/>
      <c r="P89" s="13"/>
    </row>
    <row r="90" spans="5:16" hidden="1" x14ac:dyDescent="0.35">
      <c r="E90" s="13"/>
      <c r="F90" s="13"/>
      <c r="G90" s="13"/>
      <c r="H90" s="13"/>
      <c r="I90" s="13"/>
      <c r="J90" s="13" t="s">
        <v>170</v>
      </c>
      <c r="K90" s="13"/>
      <c r="L90" s="13"/>
      <c r="M90" s="13"/>
      <c r="N90" s="13"/>
      <c r="O90" s="13"/>
      <c r="P90" s="13"/>
    </row>
    <row r="91" spans="5:16" hidden="1" x14ac:dyDescent="0.35">
      <c r="E91" s="13"/>
      <c r="F91" s="13"/>
      <c r="G91" s="13"/>
      <c r="H91" s="13"/>
      <c r="I91" s="13"/>
      <c r="J91" s="13" t="s">
        <v>171</v>
      </c>
      <c r="K91" s="13"/>
      <c r="L91" s="13"/>
      <c r="M91" s="13"/>
      <c r="N91" s="13"/>
      <c r="O91" s="13"/>
      <c r="P91" s="13"/>
    </row>
    <row r="92" spans="5:16" hidden="1" x14ac:dyDescent="0.35">
      <c r="E92" s="13"/>
      <c r="F92" s="13"/>
      <c r="G92" s="13"/>
      <c r="H92" s="13"/>
      <c r="I92" s="13"/>
      <c r="J92" s="13" t="s">
        <v>172</v>
      </c>
      <c r="K92" s="13"/>
      <c r="L92" s="13"/>
      <c r="M92" s="13"/>
      <c r="N92" s="13"/>
      <c r="O92" s="13"/>
      <c r="P92" s="13"/>
    </row>
    <row r="93" spans="5:16" hidden="1" x14ac:dyDescent="0.35">
      <c r="E93" s="13"/>
      <c r="F93" s="13"/>
      <c r="G93" s="13"/>
      <c r="H93" s="13"/>
      <c r="I93" s="13"/>
      <c r="J93" s="13" t="s">
        <v>173</v>
      </c>
      <c r="K93" s="13"/>
      <c r="L93" s="13"/>
      <c r="M93" s="13"/>
      <c r="N93" s="13"/>
      <c r="O93" s="13"/>
      <c r="P93" s="13"/>
    </row>
    <row r="94" spans="5:16" hidden="1" x14ac:dyDescent="0.35">
      <c r="E94" s="13"/>
      <c r="F94" s="13"/>
      <c r="G94" s="13"/>
      <c r="H94" s="13"/>
      <c r="I94" s="13"/>
      <c r="J94" s="13" t="s">
        <v>174</v>
      </c>
      <c r="K94" s="13"/>
      <c r="L94" s="13"/>
      <c r="M94" s="13"/>
      <c r="N94" s="13"/>
      <c r="O94" s="13"/>
      <c r="P94" s="13"/>
    </row>
    <row r="95" spans="5:16" hidden="1" x14ac:dyDescent="0.35">
      <c r="E95" s="13"/>
      <c r="F95" s="13"/>
      <c r="G95" s="13"/>
      <c r="H95" s="13"/>
      <c r="I95" s="13"/>
      <c r="J95" s="13" t="s">
        <v>175</v>
      </c>
      <c r="K95" s="13"/>
      <c r="L95" s="13"/>
      <c r="M95" s="13"/>
      <c r="N95" s="13"/>
      <c r="O95" s="13"/>
      <c r="P95" s="13"/>
    </row>
    <row r="96" spans="5:16" hidden="1" x14ac:dyDescent="0.35">
      <c r="E96" s="13"/>
      <c r="F96" s="13"/>
      <c r="G96" s="13"/>
      <c r="H96" s="13"/>
      <c r="I96" s="13"/>
      <c r="J96" s="13" t="s">
        <v>176</v>
      </c>
      <c r="K96" s="13"/>
      <c r="L96" s="13"/>
      <c r="M96" s="13"/>
      <c r="N96" s="13"/>
      <c r="O96" s="13"/>
      <c r="P96" s="13"/>
    </row>
    <row r="97" spans="5:16" hidden="1" x14ac:dyDescent="0.35">
      <c r="E97" s="13"/>
      <c r="F97" s="13"/>
      <c r="G97" s="13"/>
      <c r="H97" s="13"/>
      <c r="I97" s="13"/>
      <c r="J97" s="13" t="s">
        <v>177</v>
      </c>
      <c r="K97" s="13"/>
      <c r="L97" s="13"/>
      <c r="M97" s="13"/>
      <c r="N97" s="13"/>
      <c r="O97" s="13"/>
      <c r="P97" s="13"/>
    </row>
    <row r="98" spans="5:16" hidden="1" x14ac:dyDescent="0.35">
      <c r="E98" s="13"/>
      <c r="F98" s="13"/>
      <c r="G98" s="13"/>
      <c r="H98" s="13"/>
      <c r="I98" s="13"/>
      <c r="J98" s="13" t="s">
        <v>178</v>
      </c>
      <c r="K98" s="13"/>
      <c r="L98" s="13"/>
      <c r="M98" s="13"/>
      <c r="N98" s="13"/>
      <c r="O98" s="13"/>
      <c r="P98" s="13"/>
    </row>
    <row r="99" spans="5:16" hidden="1" x14ac:dyDescent="0.35">
      <c r="E99" s="13"/>
      <c r="F99" s="13"/>
      <c r="G99" s="13"/>
      <c r="H99" s="13"/>
      <c r="I99" s="13"/>
      <c r="J99" s="13" t="s">
        <v>179</v>
      </c>
      <c r="K99" s="13"/>
      <c r="L99" s="13"/>
      <c r="M99" s="13"/>
      <c r="N99" s="13"/>
      <c r="O99" s="13"/>
      <c r="P99" s="13"/>
    </row>
    <row r="100" spans="5:16" hidden="1" x14ac:dyDescent="0.35">
      <c r="E100" s="13"/>
      <c r="F100" s="13"/>
      <c r="G100" s="13"/>
      <c r="H100" s="13"/>
      <c r="I100" s="13"/>
      <c r="J100" s="13" t="s">
        <v>180</v>
      </c>
      <c r="K100" s="13"/>
      <c r="L100" s="13"/>
      <c r="M100" s="13"/>
      <c r="N100" s="13"/>
      <c r="O100" s="13"/>
      <c r="P100" s="13"/>
    </row>
    <row r="101" spans="5:16" hidden="1" x14ac:dyDescent="0.35">
      <c r="E101" s="13"/>
      <c r="F101" s="13"/>
      <c r="G101" s="13"/>
      <c r="H101" s="13"/>
      <c r="I101" s="13"/>
      <c r="J101" s="13" t="s">
        <v>181</v>
      </c>
      <c r="K101" s="13"/>
      <c r="L101" s="13"/>
      <c r="M101" s="13"/>
      <c r="N101" s="13"/>
      <c r="O101" s="13"/>
      <c r="P101" s="13"/>
    </row>
    <row r="102" spans="5:16" hidden="1" x14ac:dyDescent="0.35">
      <c r="E102" s="13"/>
      <c r="F102" s="13"/>
      <c r="G102" s="13"/>
      <c r="H102" s="13"/>
      <c r="I102" s="13"/>
      <c r="J102" s="13" t="s">
        <v>182</v>
      </c>
      <c r="K102" s="13"/>
      <c r="L102" s="13"/>
      <c r="M102" s="13"/>
      <c r="N102" s="13"/>
      <c r="O102" s="13"/>
      <c r="P102" s="13"/>
    </row>
    <row r="103" spans="5:16" hidden="1" x14ac:dyDescent="0.35">
      <c r="E103" s="13"/>
      <c r="F103" s="13"/>
      <c r="G103" s="13"/>
      <c r="H103" s="13"/>
      <c r="I103" s="13"/>
      <c r="J103" s="13" t="s">
        <v>183</v>
      </c>
      <c r="K103" s="13"/>
      <c r="L103" s="13"/>
      <c r="M103" s="13"/>
      <c r="N103" s="13"/>
      <c r="O103" s="13"/>
      <c r="P103" s="13"/>
    </row>
    <row r="104" spans="5:16" hidden="1" x14ac:dyDescent="0.35">
      <c r="E104" s="13"/>
      <c r="F104" s="13"/>
      <c r="G104" s="13"/>
      <c r="H104" s="13"/>
      <c r="I104" s="13"/>
      <c r="J104" s="13" t="s">
        <v>184</v>
      </c>
      <c r="K104" s="13"/>
      <c r="L104" s="13"/>
      <c r="M104" s="13"/>
      <c r="N104" s="13"/>
      <c r="O104" s="13"/>
      <c r="P104" s="13"/>
    </row>
    <row r="105" spans="5:16" hidden="1" x14ac:dyDescent="0.35">
      <c r="E105" s="13"/>
      <c r="F105" s="13"/>
      <c r="G105" s="13"/>
      <c r="H105" s="13"/>
      <c r="I105" s="13"/>
      <c r="J105" s="13" t="s">
        <v>96</v>
      </c>
      <c r="K105" s="13"/>
      <c r="L105" s="13"/>
      <c r="M105" s="13"/>
      <c r="N105" s="13"/>
      <c r="O105" s="13"/>
      <c r="P105" s="13"/>
    </row>
    <row r="106" spans="5:16" hidden="1" x14ac:dyDescent="0.35">
      <c r="E106" s="13"/>
      <c r="F106" s="13"/>
      <c r="G106" s="13"/>
      <c r="H106" s="13"/>
      <c r="I106" s="13"/>
      <c r="J106" s="13" t="s">
        <v>185</v>
      </c>
      <c r="K106" s="13"/>
      <c r="L106" s="13"/>
      <c r="M106" s="13"/>
      <c r="N106" s="13"/>
      <c r="O106" s="13"/>
      <c r="P106" s="13"/>
    </row>
    <row r="107" spans="5:16" hidden="1" x14ac:dyDescent="0.35">
      <c r="E107" s="13"/>
      <c r="F107" s="13"/>
      <c r="G107" s="13"/>
      <c r="H107" s="13"/>
      <c r="I107" s="13"/>
      <c r="J107" s="13" t="s">
        <v>186</v>
      </c>
      <c r="K107" s="13"/>
      <c r="L107" s="13"/>
      <c r="M107" s="13"/>
      <c r="N107" s="13"/>
      <c r="O107" s="13"/>
      <c r="P107" s="13"/>
    </row>
    <row r="108" spans="5:16" hidden="1" x14ac:dyDescent="0.35">
      <c r="E108" s="13"/>
      <c r="F108" s="13"/>
      <c r="G108" s="13"/>
      <c r="H108" s="13"/>
      <c r="I108" s="13"/>
      <c r="J108" s="13" t="s">
        <v>187</v>
      </c>
      <c r="K108" s="13"/>
      <c r="L108" s="13"/>
      <c r="M108" s="13"/>
      <c r="N108" s="13"/>
      <c r="O108" s="13"/>
      <c r="P108" s="13"/>
    </row>
    <row r="109" spans="5:16" hidden="1" x14ac:dyDescent="0.35">
      <c r="E109" s="13"/>
      <c r="F109" s="13"/>
      <c r="G109" s="13"/>
      <c r="H109" s="13"/>
      <c r="I109" s="13"/>
      <c r="J109" s="13" t="s">
        <v>62</v>
      </c>
      <c r="K109" s="13"/>
      <c r="L109" s="13"/>
      <c r="M109" s="13"/>
      <c r="N109" s="13"/>
      <c r="O109" s="13"/>
      <c r="P109" s="13"/>
    </row>
    <row r="110" spans="5:16" hidden="1" x14ac:dyDescent="0.35">
      <c r="E110" s="13"/>
      <c r="F110" s="13"/>
      <c r="G110" s="13"/>
      <c r="H110" s="13"/>
      <c r="I110" s="13"/>
      <c r="J110" s="13" t="s">
        <v>188</v>
      </c>
      <c r="K110" s="13"/>
      <c r="L110" s="13"/>
      <c r="M110" s="13"/>
      <c r="N110" s="13"/>
      <c r="O110" s="13"/>
      <c r="P110" s="13"/>
    </row>
    <row r="111" spans="5:16" hidden="1" x14ac:dyDescent="0.35">
      <c r="E111" s="13"/>
      <c r="F111" s="13"/>
      <c r="G111" s="13"/>
      <c r="H111" s="13"/>
      <c r="I111" s="13"/>
      <c r="J111" s="13" t="s">
        <v>189</v>
      </c>
      <c r="K111" s="13"/>
      <c r="L111" s="13"/>
      <c r="M111" s="13"/>
      <c r="N111" s="13"/>
      <c r="O111" s="13"/>
      <c r="P111" s="13"/>
    </row>
    <row r="112" spans="5:16" hidden="1" x14ac:dyDescent="0.35">
      <c r="E112" s="13"/>
      <c r="F112" s="13"/>
      <c r="G112" s="13"/>
      <c r="H112" s="13"/>
      <c r="I112" s="13"/>
      <c r="J112" s="13" t="s">
        <v>190</v>
      </c>
      <c r="K112" s="13"/>
      <c r="L112" s="13"/>
      <c r="M112" s="13"/>
      <c r="N112" s="13"/>
      <c r="O112" s="13"/>
      <c r="P112" s="13"/>
    </row>
    <row r="113" spans="5:16" hidden="1" x14ac:dyDescent="0.35">
      <c r="E113" s="13"/>
      <c r="F113" s="13"/>
      <c r="G113" s="13"/>
      <c r="H113" s="13"/>
      <c r="I113" s="13"/>
      <c r="J113" s="13" t="s">
        <v>191</v>
      </c>
      <c r="K113" s="13"/>
      <c r="L113" s="13"/>
      <c r="M113" s="13"/>
      <c r="N113" s="13"/>
      <c r="O113" s="13"/>
      <c r="P113" s="13"/>
    </row>
    <row r="114" spans="5:16" hidden="1" x14ac:dyDescent="0.35">
      <c r="E114" s="13"/>
      <c r="F114" s="13"/>
      <c r="G114" s="13"/>
      <c r="H114" s="13"/>
      <c r="I114" s="13"/>
      <c r="J114" s="13" t="s">
        <v>192</v>
      </c>
      <c r="K114" s="13"/>
      <c r="L114" s="13"/>
      <c r="M114" s="13"/>
      <c r="N114" s="13"/>
      <c r="O114" s="13"/>
      <c r="P114" s="13"/>
    </row>
    <row r="115" spans="5:16" hidden="1" x14ac:dyDescent="0.35">
      <c r="E115" s="13"/>
      <c r="F115" s="13"/>
      <c r="G115" s="13"/>
      <c r="H115" s="13"/>
      <c r="I115" s="13"/>
      <c r="J115" s="13" t="s">
        <v>193</v>
      </c>
      <c r="K115" s="13"/>
      <c r="L115" s="13"/>
      <c r="M115" s="13"/>
      <c r="N115" s="13"/>
      <c r="O115" s="13"/>
      <c r="P115" s="13"/>
    </row>
    <row r="116" spans="5:16" hidden="1" x14ac:dyDescent="0.35">
      <c r="E116" s="13"/>
      <c r="F116" s="13"/>
      <c r="G116" s="13"/>
      <c r="H116" s="13"/>
      <c r="I116" s="13"/>
      <c r="J116" s="13" t="s">
        <v>194</v>
      </c>
      <c r="K116" s="13"/>
      <c r="L116" s="13"/>
      <c r="M116" s="13"/>
      <c r="N116" s="13"/>
      <c r="O116" s="13"/>
      <c r="P116" s="13"/>
    </row>
    <row r="117" spans="5:16" hidden="1" x14ac:dyDescent="0.35">
      <c r="E117" s="13"/>
      <c r="F117" s="13"/>
      <c r="G117" s="13"/>
      <c r="H117" s="13"/>
      <c r="I117" s="13"/>
      <c r="J117" s="13" t="s">
        <v>195</v>
      </c>
      <c r="K117" s="13"/>
      <c r="L117" s="13"/>
      <c r="M117" s="13"/>
      <c r="N117" s="13"/>
      <c r="O117" s="13"/>
      <c r="P117" s="13"/>
    </row>
    <row r="118" spans="5:16" hidden="1" x14ac:dyDescent="0.35">
      <c r="E118" s="13"/>
      <c r="F118" s="13"/>
      <c r="G118" s="13"/>
      <c r="H118" s="13"/>
      <c r="I118" s="13"/>
      <c r="J118" s="13" t="s">
        <v>196</v>
      </c>
      <c r="K118" s="13"/>
      <c r="L118" s="13"/>
      <c r="M118" s="13"/>
      <c r="N118" s="13"/>
      <c r="O118" s="13"/>
      <c r="P118" s="13"/>
    </row>
    <row r="119" spans="5:16" hidden="1" x14ac:dyDescent="0.35">
      <c r="E119" s="13"/>
      <c r="F119" s="13"/>
      <c r="G119" s="13"/>
      <c r="H119" s="13"/>
      <c r="I119" s="13"/>
      <c r="J119" s="13" t="s">
        <v>197</v>
      </c>
      <c r="K119" s="13"/>
      <c r="L119" s="13"/>
      <c r="M119" s="13"/>
      <c r="N119" s="13"/>
      <c r="O119" s="13"/>
      <c r="P119" s="13"/>
    </row>
    <row r="120" spans="5:16" hidden="1" x14ac:dyDescent="0.35">
      <c r="E120" s="13"/>
      <c r="F120" s="13"/>
      <c r="G120" s="13"/>
      <c r="H120" s="13"/>
      <c r="I120" s="13"/>
      <c r="J120" s="13" t="s">
        <v>198</v>
      </c>
      <c r="K120" s="13"/>
      <c r="L120" s="13"/>
      <c r="M120" s="13"/>
      <c r="N120" s="13"/>
      <c r="O120" s="13"/>
      <c r="P120" s="13"/>
    </row>
    <row r="121" spans="5:16" hidden="1" x14ac:dyDescent="0.35">
      <c r="E121" s="13"/>
      <c r="F121" s="13"/>
      <c r="G121" s="13"/>
      <c r="H121" s="13"/>
      <c r="I121" s="13"/>
      <c r="J121" s="13" t="s">
        <v>199</v>
      </c>
      <c r="K121" s="13"/>
      <c r="L121" s="13"/>
      <c r="M121" s="13"/>
      <c r="N121" s="13"/>
      <c r="O121" s="13"/>
      <c r="P121" s="13"/>
    </row>
    <row r="122" spans="5:16" hidden="1" x14ac:dyDescent="0.35">
      <c r="E122" s="13"/>
      <c r="F122" s="13"/>
      <c r="G122" s="13"/>
      <c r="H122" s="13"/>
      <c r="I122" s="13"/>
      <c r="J122" s="13" t="s">
        <v>200</v>
      </c>
      <c r="K122" s="13"/>
      <c r="L122" s="13"/>
      <c r="M122" s="13"/>
      <c r="N122" s="13"/>
      <c r="O122" s="13"/>
      <c r="P122" s="13"/>
    </row>
    <row r="123" spans="5:16" hidden="1" x14ac:dyDescent="0.35">
      <c r="E123" s="13"/>
      <c r="F123" s="13"/>
      <c r="G123" s="13"/>
      <c r="H123" s="13"/>
      <c r="I123" s="13"/>
      <c r="J123" s="13" t="s">
        <v>14</v>
      </c>
      <c r="K123" s="13"/>
      <c r="L123" s="13"/>
      <c r="M123" s="13"/>
      <c r="N123" s="13"/>
      <c r="O123" s="13"/>
      <c r="P123" s="13"/>
    </row>
    <row r="124" spans="5:16" hidden="1" x14ac:dyDescent="0.35">
      <c r="E124" s="13"/>
      <c r="F124" s="13"/>
      <c r="G124" s="13"/>
      <c r="H124" s="13"/>
      <c r="I124" s="13"/>
      <c r="J124" s="13" t="s">
        <v>201</v>
      </c>
      <c r="K124" s="13"/>
      <c r="L124" s="13"/>
      <c r="M124" s="13"/>
      <c r="N124" s="13"/>
      <c r="O124" s="13"/>
      <c r="P124" s="13"/>
    </row>
    <row r="125" spans="5:16" hidden="1" x14ac:dyDescent="0.35">
      <c r="E125" s="13"/>
      <c r="F125" s="13"/>
      <c r="G125" s="13"/>
      <c r="H125" s="13"/>
      <c r="I125" s="13"/>
      <c r="J125" s="13" t="s">
        <v>84</v>
      </c>
      <c r="K125" s="13"/>
      <c r="L125" s="13"/>
      <c r="M125" s="13"/>
      <c r="N125" s="13"/>
      <c r="O125" s="13"/>
      <c r="P125" s="13"/>
    </row>
    <row r="126" spans="5:16" hidden="1" x14ac:dyDescent="0.35">
      <c r="E126" s="13"/>
      <c r="F126" s="13"/>
      <c r="G126" s="13"/>
      <c r="H126" s="13"/>
      <c r="I126" s="13"/>
      <c r="J126" s="13" t="s">
        <v>202</v>
      </c>
      <c r="K126" s="13"/>
      <c r="L126" s="13"/>
      <c r="M126" s="13"/>
      <c r="N126" s="13"/>
      <c r="O126" s="13"/>
      <c r="P126" s="13"/>
    </row>
    <row r="127" spans="5:16" hidden="1" x14ac:dyDescent="0.35">
      <c r="E127" s="13"/>
      <c r="F127" s="13"/>
      <c r="G127" s="13"/>
      <c r="H127" s="13"/>
      <c r="I127" s="13"/>
      <c r="J127" s="13" t="s">
        <v>203</v>
      </c>
      <c r="K127" s="13"/>
      <c r="L127" s="13"/>
      <c r="M127" s="13"/>
      <c r="N127" s="13"/>
      <c r="O127" s="13"/>
      <c r="P127" s="13"/>
    </row>
    <row r="128" spans="5:16" hidden="1" x14ac:dyDescent="0.35">
      <c r="E128" s="13"/>
      <c r="F128" s="13"/>
      <c r="G128" s="13"/>
      <c r="H128" s="13"/>
      <c r="I128" s="13"/>
      <c r="J128" s="13" t="s">
        <v>204</v>
      </c>
      <c r="K128" s="13"/>
      <c r="L128" s="13"/>
      <c r="M128" s="13"/>
      <c r="N128" s="13"/>
      <c r="O128" s="13"/>
      <c r="P128" s="13"/>
    </row>
    <row r="129" spans="5:16" hidden="1" x14ac:dyDescent="0.35">
      <c r="E129" s="13"/>
      <c r="F129" s="13"/>
      <c r="G129" s="13"/>
      <c r="H129" s="13"/>
      <c r="I129" s="13"/>
      <c r="J129" s="13" t="s">
        <v>205</v>
      </c>
      <c r="K129" s="13"/>
      <c r="L129" s="13"/>
      <c r="M129" s="13"/>
      <c r="N129" s="13"/>
      <c r="O129" s="13"/>
      <c r="P129" s="13"/>
    </row>
    <row r="130" spans="5:16" hidden="1" x14ac:dyDescent="0.35">
      <c r="E130" s="13"/>
      <c r="F130" s="13"/>
      <c r="G130" s="13"/>
      <c r="H130" s="13"/>
      <c r="I130" s="13"/>
      <c r="J130" s="13" t="s">
        <v>206</v>
      </c>
      <c r="K130" s="13"/>
      <c r="L130" s="13"/>
      <c r="M130" s="13"/>
      <c r="N130" s="13"/>
      <c r="O130" s="13"/>
      <c r="P130" s="13"/>
    </row>
  </sheetData>
  <sheetProtection algorithmName="SHA-512" hashValue="M1QZ0V4EmZlz6MrbSlxRGQrL1+4hNYTOjOJ1HBbLYmGCwhV7u5fu61a/4O5hTmJY2kYJ9aQ9qHbXtI5XaZLZJA==" saltValue="+i3jplmDRQUR5CT2cAKZ4Q==" spinCount="100000" sheet="1" formatCells="0" formatColumns="0" formatRows="0" insertColumns="0" insertRows="0" insertHyperlinks="0" deleteColumns="0" deleteRows="0" sort="0" autoFilter="0" pivotTables="0"/>
  <protectedRanges>
    <protectedRange sqref="U66:AF66" name="Rango5"/>
    <protectedRange sqref="U26:AF26 U28:AF28 U30:AF30 U32:AF32 U34:AF34 U36:AF36" name="Rango3"/>
    <protectedRange sqref="U20:AF20 U24:AF24" name="Rango1"/>
    <protectedRange sqref="AG20:AI67" name="Rango2"/>
    <protectedRange sqref="U38:AF38 U40:AF40 U42:AF42 U44:AF44 U46:AF46 U48:AF48 U50:AF50 U52:AF52 U54:AF54 U56:AF56 U58:AF58 U60:AF60 U62:AF62 U64:AF64" name="Rango4"/>
  </protectedRanges>
  <autoFilter ref="A18:AI18" xr:uid="{986475AA-2A07-4183-81DF-61611E61DE5A}">
    <filterColumn colId="0" showButton="0"/>
    <filterColumn colId="32" showButton="0"/>
  </autoFilter>
  <mergeCells count="492">
    <mergeCell ref="AH64:AH65"/>
    <mergeCell ref="AI64:AI65"/>
    <mergeCell ref="AG66:AG67"/>
    <mergeCell ref="AH66:AH67"/>
    <mergeCell ref="AI66:AI67"/>
    <mergeCell ref="AG58:AG59"/>
    <mergeCell ref="AH58:AH59"/>
    <mergeCell ref="AI58:AI59"/>
    <mergeCell ref="AH60:AH61"/>
    <mergeCell ref="AI60:AI61"/>
    <mergeCell ref="AG60:AG61"/>
    <mergeCell ref="AH62:AH63"/>
    <mergeCell ref="AI62:AI63"/>
    <mergeCell ref="AG62:AG63"/>
    <mergeCell ref="AG64:AG65"/>
    <mergeCell ref="AG48:AG49"/>
    <mergeCell ref="AH48:AH49"/>
    <mergeCell ref="AI48:AI49"/>
    <mergeCell ref="AH50:AH51"/>
    <mergeCell ref="AI50:AI51"/>
    <mergeCell ref="AG52:AG53"/>
    <mergeCell ref="AH52:AH53"/>
    <mergeCell ref="AI52:AI53"/>
    <mergeCell ref="AG42:AG43"/>
    <mergeCell ref="AH42:AH43"/>
    <mergeCell ref="AI42:AI43"/>
    <mergeCell ref="AG44:AG45"/>
    <mergeCell ref="AH44:AH45"/>
    <mergeCell ref="AI44:AI45"/>
    <mergeCell ref="AG46:AG47"/>
    <mergeCell ref="AH46:AH47"/>
    <mergeCell ref="AI46:AI47"/>
    <mergeCell ref="AG50:AG51"/>
    <mergeCell ref="AG34:AG35"/>
    <mergeCell ref="AH34:AH35"/>
    <mergeCell ref="AI34:AI35"/>
    <mergeCell ref="AG36:AG37"/>
    <mergeCell ref="AH36:AH37"/>
    <mergeCell ref="AI36:AI37"/>
    <mergeCell ref="AG38:AG39"/>
    <mergeCell ref="AH38:AH39"/>
    <mergeCell ref="AI38:AI39"/>
    <mergeCell ref="AG28:AG29"/>
    <mergeCell ref="AH28:AH29"/>
    <mergeCell ref="AI28:AI29"/>
    <mergeCell ref="AG30:AG31"/>
    <mergeCell ref="AH30:AH31"/>
    <mergeCell ref="AI30:AI31"/>
    <mergeCell ref="AG32:AG33"/>
    <mergeCell ref="AH32:AH33"/>
    <mergeCell ref="AI32:AI33"/>
    <mergeCell ref="D17:H17"/>
    <mergeCell ref="I17:Q17"/>
    <mergeCell ref="R17:AF17"/>
    <mergeCell ref="AG17:AI17"/>
    <mergeCell ref="AG18:AG19"/>
    <mergeCell ref="AH18:AH19"/>
    <mergeCell ref="AI18:AI19"/>
    <mergeCell ref="AG20:AG21"/>
    <mergeCell ref="AH20:AH21"/>
    <mergeCell ref="AI20:AI21"/>
    <mergeCell ref="P18:P19"/>
    <mergeCell ref="Q18:Q19"/>
    <mergeCell ref="K20:K21"/>
    <mergeCell ref="L20:L21"/>
    <mergeCell ref="Q20:Q21"/>
    <mergeCell ref="AA18:AA19"/>
    <mergeCell ref="AB18:AB19"/>
    <mergeCell ref="AC18:AC19"/>
    <mergeCell ref="AD18:AD19"/>
    <mergeCell ref="AE18:AE19"/>
    <mergeCell ref="AF18:AF19"/>
    <mergeCell ref="AG22:AG23"/>
    <mergeCell ref="AH22:AH23"/>
    <mergeCell ref="AI22:AI23"/>
    <mergeCell ref="AG24:AG25"/>
    <mergeCell ref="Q12:R16"/>
    <mergeCell ref="S12:T16"/>
    <mergeCell ref="F2:AI9"/>
    <mergeCell ref="AG12:AG16"/>
    <mergeCell ref="AH12:AI16"/>
    <mergeCell ref="R18:R19"/>
    <mergeCell ref="S18:S19"/>
    <mergeCell ref="T18:T19"/>
    <mergeCell ref="U18:U19"/>
    <mergeCell ref="V18:V19"/>
    <mergeCell ref="W18:W19"/>
    <mergeCell ref="X18:X19"/>
    <mergeCell ref="Y18:Y19"/>
    <mergeCell ref="Z18:Z19"/>
    <mergeCell ref="Y12:AB16"/>
    <mergeCell ref="AC12:AF16"/>
    <mergeCell ref="L18:L19"/>
    <mergeCell ref="M18:M19"/>
    <mergeCell ref="N18:N19"/>
    <mergeCell ref="O18:O19"/>
    <mergeCell ref="R1:AG1"/>
    <mergeCell ref="A2:E9"/>
    <mergeCell ref="D10:D11"/>
    <mergeCell ref="J10:J11"/>
    <mergeCell ref="D12:E16"/>
    <mergeCell ref="F12:G16"/>
    <mergeCell ref="H12:I16"/>
    <mergeCell ref="J12:J16"/>
    <mergeCell ref="K12:L16"/>
    <mergeCell ref="M12:M16"/>
    <mergeCell ref="N12:O16"/>
    <mergeCell ref="P12:P16"/>
    <mergeCell ref="U12:X16"/>
    <mergeCell ref="A18:B18"/>
    <mergeCell ref="D18:D19"/>
    <mergeCell ref="E18:E19"/>
    <mergeCell ref="F18:F19"/>
    <mergeCell ref="G18:G19"/>
    <mergeCell ref="H18:H19"/>
    <mergeCell ref="I18:I19"/>
    <mergeCell ref="J18:J19"/>
    <mergeCell ref="K18:K19"/>
    <mergeCell ref="A20:B20"/>
    <mergeCell ref="C20:C27"/>
    <mergeCell ref="D20:D21"/>
    <mergeCell ref="E20:E21"/>
    <mergeCell ref="F20:F21"/>
    <mergeCell ref="G20:G21"/>
    <mergeCell ref="H20:H21"/>
    <mergeCell ref="I20:I27"/>
    <mergeCell ref="J20:J21"/>
    <mergeCell ref="L24:L25"/>
    <mergeCell ref="L26:L27"/>
    <mergeCell ref="A21:B21"/>
    <mergeCell ref="A22:B22"/>
    <mergeCell ref="A23:B23"/>
    <mergeCell ref="M20:M21"/>
    <mergeCell ref="N20:N21"/>
    <mergeCell ref="O20:O21"/>
    <mergeCell ref="P20:P21"/>
    <mergeCell ref="D22:D23"/>
    <mergeCell ref="E22:E23"/>
    <mergeCell ref="A26:B26"/>
    <mergeCell ref="D26:D27"/>
    <mergeCell ref="E26:E27"/>
    <mergeCell ref="A27:B27"/>
    <mergeCell ref="A24:B24"/>
    <mergeCell ref="D24:D25"/>
    <mergeCell ref="E24:E25"/>
    <mergeCell ref="H24:H25"/>
    <mergeCell ref="J24:J25"/>
    <mergeCell ref="K24:K25"/>
    <mergeCell ref="A25:B25"/>
    <mergeCell ref="N24:N25"/>
    <mergeCell ref="O24:O25"/>
    <mergeCell ref="AH24:AH25"/>
    <mergeCell ref="AI24:AI25"/>
    <mergeCell ref="AG26:AG27"/>
    <mergeCell ref="AH26:AH27"/>
    <mergeCell ref="N22:N23"/>
    <mergeCell ref="O22:O23"/>
    <mergeCell ref="P22:P23"/>
    <mergeCell ref="Q22:Q23"/>
    <mergeCell ref="F22:F23"/>
    <mergeCell ref="G22:G23"/>
    <mergeCell ref="H22:H23"/>
    <mergeCell ref="J22:J23"/>
    <mergeCell ref="K22:K23"/>
    <mergeCell ref="L22:L23"/>
    <mergeCell ref="M22:M23"/>
    <mergeCell ref="F26:F27"/>
    <mergeCell ref="G26:G27"/>
    <mergeCell ref="H26:H27"/>
    <mergeCell ref="J26:J27"/>
    <mergeCell ref="K26:K27"/>
    <mergeCell ref="M24:M25"/>
    <mergeCell ref="M26:M27"/>
    <mergeCell ref="F24:F25"/>
    <mergeCell ref="G24:G25"/>
    <mergeCell ref="P24:P25"/>
    <mergeCell ref="Q24:Q25"/>
    <mergeCell ref="N26:N27"/>
    <mergeCell ref="O26:O27"/>
    <mergeCell ref="P26:P27"/>
    <mergeCell ref="Q26:Q27"/>
    <mergeCell ref="AI26:AI27"/>
    <mergeCell ref="A28:B28"/>
    <mergeCell ref="C28:C43"/>
    <mergeCell ref="D28:D29"/>
    <mergeCell ref="E28:E29"/>
    <mergeCell ref="F28:F29"/>
    <mergeCell ref="G28:G29"/>
    <mergeCell ref="A31:B31"/>
    <mergeCell ref="A32:B32"/>
    <mergeCell ref="D32:D33"/>
    <mergeCell ref="E32:E33"/>
    <mergeCell ref="A29:B29"/>
    <mergeCell ref="A33:B33"/>
    <mergeCell ref="A34:B34"/>
    <mergeCell ref="D34:D35"/>
    <mergeCell ref="E34:E35"/>
    <mergeCell ref="F34:F35"/>
    <mergeCell ref="G34:G35"/>
    <mergeCell ref="L28:L29"/>
    <mergeCell ref="M28:M29"/>
    <mergeCell ref="N28:N29"/>
    <mergeCell ref="H30:H31"/>
    <mergeCell ref="J30:J31"/>
    <mergeCell ref="L30:L31"/>
    <mergeCell ref="M30:M31"/>
    <mergeCell ref="H34:H35"/>
    <mergeCell ref="J34:J35"/>
    <mergeCell ref="N32:N33"/>
    <mergeCell ref="L34:L35"/>
    <mergeCell ref="M34:M35"/>
    <mergeCell ref="N34:N35"/>
    <mergeCell ref="H28:H29"/>
    <mergeCell ref="I28:I43"/>
    <mergeCell ref="J28:J29"/>
    <mergeCell ref="J36:J37"/>
    <mergeCell ref="M42:M43"/>
    <mergeCell ref="N42:N43"/>
    <mergeCell ref="A30:B30"/>
    <mergeCell ref="D30:D31"/>
    <mergeCell ref="E30:E31"/>
    <mergeCell ref="F30:F31"/>
    <mergeCell ref="G30:G31"/>
    <mergeCell ref="N30:N31"/>
    <mergeCell ref="F32:F33"/>
    <mergeCell ref="G32:G33"/>
    <mergeCell ref="H32:H33"/>
    <mergeCell ref="J32:J33"/>
    <mergeCell ref="L32:L33"/>
    <mergeCell ref="M32:M33"/>
    <mergeCell ref="A35:B35"/>
    <mergeCell ref="A36:B36"/>
    <mergeCell ref="D36:D37"/>
    <mergeCell ref="E36:E37"/>
    <mergeCell ref="F36:F37"/>
    <mergeCell ref="G36:G37"/>
    <mergeCell ref="H36:H37"/>
    <mergeCell ref="A40:B40"/>
    <mergeCell ref="D40:D41"/>
    <mergeCell ref="E40:E41"/>
    <mergeCell ref="O30:O31"/>
    <mergeCell ref="P30:P31"/>
    <mergeCell ref="Q30:Q31"/>
    <mergeCell ref="O28:O29"/>
    <mergeCell ref="P28:P29"/>
    <mergeCell ref="Q28:Q29"/>
    <mergeCell ref="Q36:Q37"/>
    <mergeCell ref="Q38:Q39"/>
    <mergeCell ref="O32:O33"/>
    <mergeCell ref="P32:P33"/>
    <mergeCell ref="Q32:Q33"/>
    <mergeCell ref="O34:O35"/>
    <mergeCell ref="P34:P35"/>
    <mergeCell ref="Q34:Q35"/>
    <mergeCell ref="AH40:AH41"/>
    <mergeCell ref="L36:L37"/>
    <mergeCell ref="O36:O37"/>
    <mergeCell ref="P36:P37"/>
    <mergeCell ref="A39:B39"/>
    <mergeCell ref="J38:J39"/>
    <mergeCell ref="L38:L39"/>
    <mergeCell ref="M38:M39"/>
    <mergeCell ref="N38:N39"/>
    <mergeCell ref="O38:O39"/>
    <mergeCell ref="P38:P39"/>
    <mergeCell ref="A38:B38"/>
    <mergeCell ref="D38:D39"/>
    <mergeCell ref="E38:E39"/>
    <mergeCell ref="F38:F39"/>
    <mergeCell ref="G38:G39"/>
    <mergeCell ref="H38:H39"/>
    <mergeCell ref="M36:M37"/>
    <mergeCell ref="N36:N37"/>
    <mergeCell ref="H40:H41"/>
    <mergeCell ref="F40:F41"/>
    <mergeCell ref="G40:G41"/>
    <mergeCell ref="A41:B41"/>
    <mergeCell ref="A37:B37"/>
    <mergeCell ref="AI40:AI41"/>
    <mergeCell ref="O42:O43"/>
    <mergeCell ref="A42:B42"/>
    <mergeCell ref="D42:D43"/>
    <mergeCell ref="E42:E43"/>
    <mergeCell ref="F42:F43"/>
    <mergeCell ref="G42:G43"/>
    <mergeCell ref="H42:H43"/>
    <mergeCell ref="O44:O45"/>
    <mergeCell ref="P42:P43"/>
    <mergeCell ref="Q42:Q43"/>
    <mergeCell ref="J42:J43"/>
    <mergeCell ref="K42:K43"/>
    <mergeCell ref="L42:L43"/>
    <mergeCell ref="P44:P45"/>
    <mergeCell ref="Q44:Q45"/>
    <mergeCell ref="Q40:Q41"/>
    <mergeCell ref="J40:J41"/>
    <mergeCell ref="L40:L41"/>
    <mergeCell ref="M40:M41"/>
    <mergeCell ref="N40:N41"/>
    <mergeCell ref="O40:O41"/>
    <mergeCell ref="P40:P41"/>
    <mergeCell ref="AG40:AG41"/>
    <mergeCell ref="J46:J47"/>
    <mergeCell ref="K46:K47"/>
    <mergeCell ref="L46:L47"/>
    <mergeCell ref="N46:N47"/>
    <mergeCell ref="I44:I57"/>
    <mergeCell ref="J44:J45"/>
    <mergeCell ref="K44:K45"/>
    <mergeCell ref="L44:L45"/>
    <mergeCell ref="N44:N45"/>
    <mergeCell ref="J48:J49"/>
    <mergeCell ref="K48:K49"/>
    <mergeCell ref="J56:J57"/>
    <mergeCell ref="K56:K57"/>
    <mergeCell ref="L56:L57"/>
    <mergeCell ref="N56:N57"/>
    <mergeCell ref="A49:B49"/>
    <mergeCell ref="A52:B52"/>
    <mergeCell ref="D52:D53"/>
    <mergeCell ref="E52:E53"/>
    <mergeCell ref="F52:F53"/>
    <mergeCell ref="G52:G53"/>
    <mergeCell ref="H52:H53"/>
    <mergeCell ref="A43:B43"/>
    <mergeCell ref="A44:B44"/>
    <mergeCell ref="C44:C57"/>
    <mergeCell ref="D44:D45"/>
    <mergeCell ref="E44:E45"/>
    <mergeCell ref="F44:F45"/>
    <mergeCell ref="G44:G45"/>
    <mergeCell ref="H44:H45"/>
    <mergeCell ref="A45:B45"/>
    <mergeCell ref="A46:B46"/>
    <mergeCell ref="D46:D47"/>
    <mergeCell ref="E46:E47"/>
    <mergeCell ref="F46:F47"/>
    <mergeCell ref="G46:G47"/>
    <mergeCell ref="H46:H47"/>
    <mergeCell ref="H48:H49"/>
    <mergeCell ref="A50:B50"/>
    <mergeCell ref="P46:P47"/>
    <mergeCell ref="Q46:Q47"/>
    <mergeCell ref="N48:N49"/>
    <mergeCell ref="O48:O49"/>
    <mergeCell ref="P48:P49"/>
    <mergeCell ref="Q48:Q49"/>
    <mergeCell ref="N50:N51"/>
    <mergeCell ref="O50:O51"/>
    <mergeCell ref="P50:P51"/>
    <mergeCell ref="Q50:Q51"/>
    <mergeCell ref="A53:B53"/>
    <mergeCell ref="J52:J53"/>
    <mergeCell ref="K52:K53"/>
    <mergeCell ref="L52:L53"/>
    <mergeCell ref="N52:N53"/>
    <mergeCell ref="O52:O53"/>
    <mergeCell ref="P52:P53"/>
    <mergeCell ref="A47:B47"/>
    <mergeCell ref="A48:B48"/>
    <mergeCell ref="D48:D49"/>
    <mergeCell ref="E48:E49"/>
    <mergeCell ref="F48:F49"/>
    <mergeCell ref="D50:D51"/>
    <mergeCell ref="E50:E51"/>
    <mergeCell ref="F50:F51"/>
    <mergeCell ref="G50:G51"/>
    <mergeCell ref="H50:H51"/>
    <mergeCell ref="J50:J51"/>
    <mergeCell ref="K50:K51"/>
    <mergeCell ref="L48:L49"/>
    <mergeCell ref="A51:B51"/>
    <mergeCell ref="L50:L51"/>
    <mergeCell ref="G48:G49"/>
    <mergeCell ref="O46:O47"/>
    <mergeCell ref="A54:B54"/>
    <mergeCell ref="D54:D55"/>
    <mergeCell ref="E54:E55"/>
    <mergeCell ref="F54:F55"/>
    <mergeCell ref="G54:G55"/>
    <mergeCell ref="H54:H55"/>
    <mergeCell ref="A55:B55"/>
    <mergeCell ref="Q54:Q55"/>
    <mergeCell ref="AG54:AG55"/>
    <mergeCell ref="Q52:Q53"/>
    <mergeCell ref="AH54:AH55"/>
    <mergeCell ref="AI54:AI55"/>
    <mergeCell ref="J54:J55"/>
    <mergeCell ref="K54:K55"/>
    <mergeCell ref="L54:L55"/>
    <mergeCell ref="N54:N55"/>
    <mergeCell ref="O54:O55"/>
    <mergeCell ref="P54:P55"/>
    <mergeCell ref="AH56:AH57"/>
    <mergeCell ref="AI56:AI57"/>
    <mergeCell ref="A59:B59"/>
    <mergeCell ref="Q56:Q57"/>
    <mergeCell ref="A56:B56"/>
    <mergeCell ref="D56:D57"/>
    <mergeCell ref="E56:E57"/>
    <mergeCell ref="F56:F57"/>
    <mergeCell ref="G56:G57"/>
    <mergeCell ref="H56:H57"/>
    <mergeCell ref="A57:B57"/>
    <mergeCell ref="I58:I61"/>
    <mergeCell ref="H58:H59"/>
    <mergeCell ref="O58:O59"/>
    <mergeCell ref="A58:B58"/>
    <mergeCell ref="C58:C59"/>
    <mergeCell ref="N58:N59"/>
    <mergeCell ref="K58:K59"/>
    <mergeCell ref="L58:L59"/>
    <mergeCell ref="O56:O57"/>
    <mergeCell ref="P56:P57"/>
    <mergeCell ref="AG56:AG57"/>
    <mergeCell ref="N60:N61"/>
    <mergeCell ref="E60:E61"/>
    <mergeCell ref="F60:F61"/>
    <mergeCell ref="G60:G61"/>
    <mergeCell ref="D58:D59"/>
    <mergeCell ref="E58:E59"/>
    <mergeCell ref="F58:F59"/>
    <mergeCell ref="G58:G59"/>
    <mergeCell ref="J58:J59"/>
    <mergeCell ref="O60:O61"/>
    <mergeCell ref="P60:P61"/>
    <mergeCell ref="Q60:Q61"/>
    <mergeCell ref="P58:P59"/>
    <mergeCell ref="Q58:Q59"/>
    <mergeCell ref="A62:B62"/>
    <mergeCell ref="C62:C67"/>
    <mergeCell ref="D62:D63"/>
    <mergeCell ref="E62:E63"/>
    <mergeCell ref="F62:F63"/>
    <mergeCell ref="G62:G63"/>
    <mergeCell ref="H62:H63"/>
    <mergeCell ref="I62:I67"/>
    <mergeCell ref="H60:H61"/>
    <mergeCell ref="J60:J61"/>
    <mergeCell ref="A60:B61"/>
    <mergeCell ref="C60:C61"/>
    <mergeCell ref="D60:D61"/>
    <mergeCell ref="A65:B65"/>
    <mergeCell ref="J62:J63"/>
    <mergeCell ref="K62:K63"/>
    <mergeCell ref="K60:K61"/>
    <mergeCell ref="L60:L61"/>
    <mergeCell ref="M60:M61"/>
    <mergeCell ref="Q62:Q63"/>
    <mergeCell ref="Q64:Q65"/>
    <mergeCell ref="M64:M65"/>
    <mergeCell ref="N62:N63"/>
    <mergeCell ref="O62:O63"/>
    <mergeCell ref="P62:P63"/>
    <mergeCell ref="N64:N65"/>
    <mergeCell ref="O64:O65"/>
    <mergeCell ref="P64:P65"/>
    <mergeCell ref="Q66:Q67"/>
    <mergeCell ref="A66:B66"/>
    <mergeCell ref="D66:D67"/>
    <mergeCell ref="L62:L63"/>
    <mergeCell ref="A63:B63"/>
    <mergeCell ref="A64:B64"/>
    <mergeCell ref="D64:D65"/>
    <mergeCell ref="E64:E65"/>
    <mergeCell ref="F64:F65"/>
    <mergeCell ref="G64:G65"/>
    <mergeCell ref="H64:H65"/>
    <mergeCell ref="J64:J65"/>
    <mergeCell ref="K64:K65"/>
    <mergeCell ref="L64:L65"/>
    <mergeCell ref="P69:P70"/>
    <mergeCell ref="A70:B70"/>
    <mergeCell ref="A67:B67"/>
    <mergeCell ref="A68:B68"/>
    <mergeCell ref="A69:B69"/>
    <mergeCell ref="E69:E70"/>
    <mergeCell ref="F69:F70"/>
    <mergeCell ref="G69:G70"/>
    <mergeCell ref="H69:H70"/>
    <mergeCell ref="I69:I70"/>
    <mergeCell ref="J69:J70"/>
    <mergeCell ref="L66:L67"/>
    <mergeCell ref="N66:N67"/>
    <mergeCell ref="O66:O67"/>
    <mergeCell ref="P66:P67"/>
    <mergeCell ref="E66:E67"/>
    <mergeCell ref="F66:F67"/>
    <mergeCell ref="G66:G67"/>
    <mergeCell ref="H66:H67"/>
    <mergeCell ref="J66:J67"/>
    <mergeCell ref="K66:K67"/>
  </mergeCells>
  <phoneticPr fontId="82" type="noConversion"/>
  <conditionalFormatting sqref="F10">
    <cfRule type="cellIs" dxfId="73" priority="23" operator="lessThanOrEqual">
      <formula>$C$4</formula>
    </cfRule>
    <cfRule type="cellIs" dxfId="72" priority="26" operator="lessThanOrEqual">
      <formula>$C$4</formula>
    </cfRule>
    <cfRule type="cellIs" dxfId="71" priority="27" operator="between">
      <formula>$C$5</formula>
      <formula>$C$4</formula>
    </cfRule>
    <cfRule type="cellIs" dxfId="70" priority="53" operator="lessThanOrEqual">
      <formula>$C$4</formula>
    </cfRule>
  </conditionalFormatting>
  <conditionalFormatting sqref="F10:F11">
    <cfRule type="cellIs" dxfId="69" priority="24" operator="between">
      <formula>$C$5</formula>
      <formula>$C$4</formula>
    </cfRule>
  </conditionalFormatting>
  <conditionalFormatting sqref="F11">
    <cfRule type="cellIs" dxfId="68" priority="22" operator="greaterThanOrEqual">
      <formula>$C$5</formula>
    </cfRule>
    <cfRule type="cellIs" dxfId="67" priority="25" operator="greaterThanOrEqual">
      <formula>$C$5</formula>
    </cfRule>
  </conditionalFormatting>
  <conditionalFormatting sqref="J12 T20:T67">
    <cfRule type="cellIs" dxfId="66" priority="19" operator="greaterThanOrEqual">
      <formula>$F$11</formula>
    </cfRule>
    <cfRule type="cellIs" dxfId="65" priority="20" operator="lessThanOrEqual">
      <formula>$F$10</formula>
    </cfRule>
    <cfRule type="cellIs" dxfId="64" priority="21" operator="between">
      <formula>$F$10</formula>
      <formula>$F$11</formula>
    </cfRule>
  </conditionalFormatting>
  <conditionalFormatting sqref="L10">
    <cfRule type="cellIs" dxfId="63" priority="52" operator="lessThanOrEqual">
      <formula>$C$4</formula>
    </cfRule>
  </conditionalFormatting>
  <conditionalFormatting sqref="M12">
    <cfRule type="cellIs" dxfId="62" priority="16" operator="greaterThanOrEqual">
      <formula>$F$11</formula>
    </cfRule>
    <cfRule type="cellIs" dxfId="61" priority="17" operator="lessThanOrEqual">
      <formula>$F$10</formula>
    </cfRule>
    <cfRule type="cellIs" dxfId="60" priority="18" operator="between">
      <formula>$F$10</formula>
      <formula>$F$11</formula>
    </cfRule>
  </conditionalFormatting>
  <conditionalFormatting sqref="S12">
    <cfRule type="cellIs" dxfId="59" priority="13" operator="greaterThanOrEqual">
      <formula>$F$11</formula>
    </cfRule>
    <cfRule type="cellIs" dxfId="58" priority="14" operator="lessThanOrEqual">
      <formula>$F$10</formula>
    </cfRule>
    <cfRule type="cellIs" dxfId="57" priority="15" operator="between">
      <formula>$F$10</formula>
      <formula>$F$11</formula>
    </cfRule>
  </conditionalFormatting>
  <conditionalFormatting sqref="Y12">
    <cfRule type="cellIs" dxfId="56" priority="10" operator="greaterThanOrEqual">
      <formula>$F$11</formula>
    </cfRule>
    <cfRule type="cellIs" dxfId="55" priority="11" operator="lessThanOrEqual">
      <formula>$F$10</formula>
    </cfRule>
    <cfRule type="cellIs" dxfId="54" priority="12" operator="between">
      <formula>$F$10</formula>
      <formula>$F$11</formula>
    </cfRule>
  </conditionalFormatting>
  <conditionalFormatting sqref="AG12">
    <cfRule type="cellIs" dxfId="53" priority="7" operator="greaterThanOrEqual">
      <formula>$F$11</formula>
    </cfRule>
    <cfRule type="cellIs" dxfId="52" priority="8" operator="lessThanOrEqual">
      <formula>$F$10</formula>
    </cfRule>
    <cfRule type="cellIs" dxfId="51" priority="9" operator="between">
      <formula>$F$10</formula>
      <formula>$F$11</formula>
    </cfRule>
  </conditionalFormatting>
  <dataValidations count="9">
    <dataValidation type="decimal" allowBlank="1" showInputMessage="1" showErrorMessage="1" prompt="valor porcentual de la activida - Indique el peso porcentual de la actividad dentro del proyecto" sqref="S20 S24 S64 S62 S22 S28 S26 S30 S32 S34 S36 S38 S40 S42 S44 S46 S48 S50 S52 S54 S56 S58 S60 S66" xr:uid="{C5A40D77-37C3-472A-B722-698640A28BD8}">
      <formula1>0</formula1>
      <formula2>1</formula2>
    </dataValidation>
    <dataValidation type="decimal" allowBlank="1" showInputMessage="1" showErrorMessage="1" prompt="campo calculado  - indica el % de avance  que aporta la activadad a todo el proyecto" sqref="S25 S23 S65 S21 S63 S29 S27 S31 S33 S35 S37 S39 S41 S43 S45 S47 S49 S51 S53 S55 S57 S59 S61 S67" xr:uid="{3D84ACE4-1589-4B5B-8B15-2D0156D05F9A}">
      <formula1>0</formula1>
      <formula2>1</formula2>
    </dataValidation>
    <dataValidation type="decimal" allowBlank="1" showInputMessage="1" showErrorMessage="1" prompt="% de avance en la actividad - indique el % programado de avance durante esta semana_x000a_" sqref="U20:W29 AH30 AH66:AI66 AH20:AI20 AH22:AI22 AH24:AI24 AH26:AI26 AH32:AI32 AH36:AI36 AI42 AH40:AI40 AI50 AH44:AI44 AH46:AI46 AH48:AI48 AI54 AH52:AI52 AH56:AI56 AH58:AI58 AH60:AI60 AH62:AI62 AH64:AI64 AH34 AI10:AI11 AG10:AH12 X20:AF67 U31:W67" xr:uid="{130EFC3F-8215-4BA9-A3E3-A0C75D2F808F}">
      <formula1>0</formula1>
      <formula2>1</formula2>
    </dataValidation>
    <dataValidation allowBlank="1" showInputMessage="1" showErrorMessage="1" prompt="% de avance en la actividad - indique el % programado de avance durante esta semana_x000a_" sqref="AG58 AG20 AG22 AG24 AI30 AG28:AI28 AI34 AG32 AG36 AG40 AG38:AI38 AG42:AH42 AH50 AG44 AG46 AG48 AG52 AG56 AG62 AG64 AG60 AG66 AH54 AG34 AG30 AG26" xr:uid="{B8D0AC3A-C9CA-4C0B-A298-DA348AB053D3}"/>
    <dataValidation type="list" allowBlank="1" showInputMessage="1" showErrorMessage="1" sqref="H20:H67" xr:uid="{951AFF8A-E3FC-40A1-A08B-8EBD477D2976}">
      <formula1>$H$71:$H$89</formula1>
    </dataValidation>
    <dataValidation type="list" allowBlank="1" showInputMessage="1" showErrorMessage="1" sqref="G20:G67" xr:uid="{AE0746C5-DF89-4D4E-884C-1827B293339A}">
      <formula1>$G$71:$G$77</formula1>
    </dataValidation>
    <dataValidation type="list" allowBlank="1" showInputMessage="1" showErrorMessage="1" sqref="F20:F67" xr:uid="{0D283FDC-E4F0-479D-A9CA-92AE9999925A}">
      <formula1>$F$71:$F$80</formula1>
    </dataValidation>
    <dataValidation type="list" allowBlank="1" showInputMessage="1" showErrorMessage="1" sqref="E20:E67" xr:uid="{E4EA7278-B460-4297-B32F-59FAC31AE67E}">
      <formula1>$E$71:$E$78</formula1>
    </dataValidation>
    <dataValidation allowBlank="1" showErrorMessage="1" sqref="T20:T67" xr:uid="{57F9609C-36C5-4004-8615-AFDF8905A78B}"/>
  </dataValidations>
  <pageMargins left="0.7" right="0.7" top="0.75" bottom="0.75" header="0.3" footer="0.3"/>
  <pageSetup orientation="portrait" r:id="rId1"/>
  <headerFooter>
    <oddFooter>&amp;C_x000D_&amp;1#&amp;"Calibri"&amp;10&amp;K008000 DOCUMENTO PÚBLICO</oddFooter>
  </headerFooter>
  <rowBreaks count="1" manualBreakCount="1">
    <brk id="68" max="16383" man="1"/>
  </rowBreaks>
  <colBreaks count="3" manualBreakCount="3">
    <brk id="7" max="151" man="1"/>
    <brk id="12" max="151" man="1"/>
    <brk id="14" max="151"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8667-0991-4596-ADC8-B3103AD6FA95}">
  <dimension ref="A1:AI37"/>
  <sheetViews>
    <sheetView showGridLines="0" view="pageBreakPreview" topLeftCell="D1" zoomScale="60" zoomScaleNormal="10" zoomScalePageLayoutView="48" workbookViewId="0">
      <selection activeCell="D1" sqref="D1:AI3"/>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9" width="28.54296875" style="13" customWidth="1"/>
    <col min="10" max="10" width="37.54296875" style="13" customWidth="1"/>
    <col min="11" max="11" width="33.54296875" style="13" customWidth="1"/>
    <col min="12" max="12" width="19.54296875" style="13" customWidth="1"/>
    <col min="13" max="13" width="28.54296875" style="13" customWidth="1"/>
    <col min="14" max="16" width="18.453125" style="13" customWidth="1"/>
    <col min="17" max="19" width="13.54296875" style="13" customWidth="1"/>
    <col min="20" max="31" width="9.54296875" style="13" customWidth="1"/>
    <col min="32" max="32" width="35.54296875" style="13" customWidth="1"/>
    <col min="33" max="35" width="42.54296875" style="13" customWidth="1"/>
    <col min="36" max="16384" width="12.54296875" style="13"/>
  </cols>
  <sheetData>
    <row r="1" spans="1:35" s="5" customFormat="1" ht="15" customHeight="1" x14ac:dyDescent="0.35">
      <c r="A1" s="337"/>
      <c r="B1" s="338"/>
      <c r="C1" s="339"/>
      <c r="D1" s="348" t="s">
        <v>1703</v>
      </c>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row>
    <row r="2" spans="1:35"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5" s="5" customFormat="1" ht="60" customHeight="1" thickBot="1" x14ac:dyDescent="0.4">
      <c r="A3" s="343"/>
      <c r="B3" s="344"/>
      <c r="C3" s="345"/>
      <c r="D3" s="348"/>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row>
    <row r="4" spans="1:35" s="5" customFormat="1" ht="60" hidden="1" customHeight="1" thickBot="1" x14ac:dyDescent="0.4">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row>
    <row r="5" spans="1:35" s="5" customFormat="1" ht="60" hidden="1" customHeight="1" x14ac:dyDescent="0.35">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row>
    <row r="6" spans="1:35" ht="17.5" customHeight="1" x14ac:dyDescent="0.35">
      <c r="A6" s="596" t="s">
        <v>13</v>
      </c>
      <c r="B6" s="596"/>
      <c r="C6" s="423" t="s">
        <v>1704</v>
      </c>
      <c r="D6" s="423"/>
      <c r="E6" s="596" t="s">
        <v>15</v>
      </c>
      <c r="F6" s="596"/>
      <c r="G6" s="455">
        <f>+R15+R17+R19+R21+R23</f>
        <v>1</v>
      </c>
      <c r="H6" s="596" t="s">
        <v>209</v>
      </c>
      <c r="I6" s="596"/>
      <c r="J6" s="489">
        <f>+R14+R16+R18+R20+R22</f>
        <v>0.24722000000000005</v>
      </c>
      <c r="K6" s="596" t="s">
        <v>17</v>
      </c>
      <c r="L6" s="596"/>
      <c r="M6" s="443">
        <v>1</v>
      </c>
      <c r="N6" s="295" t="s">
        <v>210</v>
      </c>
      <c r="O6" s="296"/>
      <c r="P6" s="297"/>
      <c r="Q6" s="304">
        <f>(SUM(T14:V14,T16:V16,T18:V18,T20:V20,T22:V22)/SUM(T15:V15,T17:V17,T19:V19,T21:V21,T23:V23))/M6</f>
        <v>0.98887999999999998</v>
      </c>
      <c r="R6" s="325"/>
      <c r="S6" s="305"/>
      <c r="T6" s="295" t="s">
        <v>211</v>
      </c>
      <c r="U6" s="296"/>
      <c r="V6" s="296"/>
      <c r="W6" s="297"/>
      <c r="X6" s="304">
        <f>SUM(W14:Y14,W16:Y16,W18:Y18,W20:Y20,W22:Y22)/SUM(W15:Y15,W17:Y17,W19:Y19,W21:Y21,W23:Y23)/M6</f>
        <v>0</v>
      </c>
      <c r="Y6" s="325"/>
      <c r="Z6" s="325"/>
      <c r="AA6" s="305"/>
      <c r="AB6" s="295" t="s">
        <v>212</v>
      </c>
      <c r="AC6" s="296"/>
      <c r="AD6" s="296"/>
      <c r="AE6" s="297"/>
      <c r="AF6" s="304">
        <f>(SUM(Z14:AB14,Z16:AB16,Z18:AB18,Z20:AB20,Z22:AB22)/SUM(Z15:AB15,Z17:AB17,Z19:AB19,Z21:AB21,Z23:AB23))</f>
        <v>0</v>
      </c>
      <c r="AG6" s="295" t="s">
        <v>213</v>
      </c>
      <c r="AH6" s="304">
        <f>SUM(AC14:AE14,AC16:AE16,AC18:AE18,AC20:AE20,AC22:AE22)/SUM(AC15:AE15,AC17:AE17,AC19:AE19,AC21:AE21,AC23:AE23)/M6</f>
        <v>0</v>
      </c>
      <c r="AI6" s="295"/>
    </row>
    <row r="7" spans="1:35" ht="15" customHeight="1" x14ac:dyDescent="0.35">
      <c r="A7" s="596"/>
      <c r="B7" s="596"/>
      <c r="C7" s="423"/>
      <c r="D7" s="423"/>
      <c r="E7" s="596"/>
      <c r="F7" s="596"/>
      <c r="G7" s="456"/>
      <c r="H7" s="596"/>
      <c r="I7" s="596"/>
      <c r="J7" s="490"/>
      <c r="K7" s="596"/>
      <c r="L7" s="596"/>
      <c r="M7" s="444"/>
      <c r="N7" s="298"/>
      <c r="O7" s="299"/>
      <c r="P7" s="300"/>
      <c r="Q7" s="306"/>
      <c r="R7" s="326"/>
      <c r="S7" s="307"/>
      <c r="T7" s="298"/>
      <c r="U7" s="299"/>
      <c r="V7" s="299"/>
      <c r="W7" s="300"/>
      <c r="X7" s="306"/>
      <c r="Y7" s="326"/>
      <c r="Z7" s="326"/>
      <c r="AA7" s="307"/>
      <c r="AB7" s="298"/>
      <c r="AC7" s="299"/>
      <c r="AD7" s="299"/>
      <c r="AE7" s="300"/>
      <c r="AF7" s="306"/>
      <c r="AG7" s="298"/>
      <c r="AH7" s="306"/>
      <c r="AI7" s="298"/>
    </row>
    <row r="8" spans="1:35" ht="25.4" customHeight="1" x14ac:dyDescent="0.35">
      <c r="A8" s="596"/>
      <c r="B8" s="596"/>
      <c r="C8" s="423"/>
      <c r="D8" s="423"/>
      <c r="E8" s="596"/>
      <c r="F8" s="596"/>
      <c r="G8" s="456"/>
      <c r="H8" s="596"/>
      <c r="I8" s="596"/>
      <c r="J8" s="490"/>
      <c r="K8" s="596"/>
      <c r="L8" s="596"/>
      <c r="M8" s="444"/>
      <c r="N8" s="298"/>
      <c r="O8" s="299"/>
      <c r="P8" s="300"/>
      <c r="Q8" s="306"/>
      <c r="R8" s="326"/>
      <c r="S8" s="307"/>
      <c r="T8" s="298"/>
      <c r="U8" s="299"/>
      <c r="V8" s="299"/>
      <c r="W8" s="300"/>
      <c r="X8" s="306"/>
      <c r="Y8" s="326"/>
      <c r="Z8" s="326"/>
      <c r="AA8" s="307"/>
      <c r="AB8" s="298"/>
      <c r="AC8" s="299"/>
      <c r="AD8" s="299"/>
      <c r="AE8" s="300"/>
      <c r="AF8" s="306"/>
      <c r="AG8" s="298"/>
      <c r="AH8" s="306"/>
      <c r="AI8" s="298"/>
    </row>
    <row r="9" spans="1:35" ht="25.4" customHeight="1" x14ac:dyDescent="0.35">
      <c r="A9" s="596"/>
      <c r="B9" s="596"/>
      <c r="C9" s="423"/>
      <c r="D9" s="423"/>
      <c r="E9" s="596"/>
      <c r="F9" s="596"/>
      <c r="G9" s="456"/>
      <c r="H9" s="596"/>
      <c r="I9" s="596"/>
      <c r="J9" s="490"/>
      <c r="K9" s="596"/>
      <c r="L9" s="596"/>
      <c r="M9" s="444"/>
      <c r="N9" s="298"/>
      <c r="O9" s="299"/>
      <c r="P9" s="300"/>
      <c r="Q9" s="306"/>
      <c r="R9" s="326"/>
      <c r="S9" s="307"/>
      <c r="T9" s="298"/>
      <c r="U9" s="299"/>
      <c r="V9" s="299"/>
      <c r="W9" s="300"/>
      <c r="X9" s="306"/>
      <c r="Y9" s="326"/>
      <c r="Z9" s="326"/>
      <c r="AA9" s="307"/>
      <c r="AB9" s="298"/>
      <c r="AC9" s="299"/>
      <c r="AD9" s="299"/>
      <c r="AE9" s="300"/>
      <c r="AF9" s="306"/>
      <c r="AG9" s="298"/>
      <c r="AH9" s="306"/>
      <c r="AI9" s="298"/>
    </row>
    <row r="10" spans="1:35" ht="15" customHeight="1" thickBot="1" x14ac:dyDescent="0.4">
      <c r="A10" s="596"/>
      <c r="B10" s="596"/>
      <c r="C10" s="423"/>
      <c r="D10" s="423"/>
      <c r="E10" s="596"/>
      <c r="F10" s="596"/>
      <c r="G10" s="457"/>
      <c r="H10" s="596"/>
      <c r="I10" s="596"/>
      <c r="J10" s="491"/>
      <c r="K10" s="596"/>
      <c r="L10" s="596"/>
      <c r="M10" s="445"/>
      <c r="N10" s="301"/>
      <c r="O10" s="302"/>
      <c r="P10" s="303"/>
      <c r="Q10" s="308"/>
      <c r="R10" s="327"/>
      <c r="S10" s="309"/>
      <c r="T10" s="301"/>
      <c r="U10" s="302"/>
      <c r="V10" s="302"/>
      <c r="W10" s="303"/>
      <c r="X10" s="308"/>
      <c r="Y10" s="327"/>
      <c r="Z10" s="327"/>
      <c r="AA10" s="309"/>
      <c r="AB10" s="301"/>
      <c r="AC10" s="302"/>
      <c r="AD10" s="302"/>
      <c r="AE10" s="303"/>
      <c r="AF10" s="308"/>
      <c r="AG10" s="301"/>
      <c r="AH10" s="308"/>
      <c r="AI10" s="301"/>
    </row>
    <row r="11" spans="1:35" s="14" customFormat="1" ht="40.4" customHeight="1" thickBot="1" x14ac:dyDescent="0.4">
      <c r="A11" s="313" t="s">
        <v>21</v>
      </c>
      <c r="B11" s="313"/>
      <c r="C11" s="313"/>
      <c r="D11" s="313"/>
      <c r="E11" s="313"/>
      <c r="F11" s="314"/>
      <c r="G11" s="437" t="s">
        <v>280</v>
      </c>
      <c r="H11" s="438"/>
      <c r="I11" s="438"/>
      <c r="J11" s="438"/>
      <c r="K11" s="438"/>
      <c r="L11" s="438"/>
      <c r="M11" s="438"/>
      <c r="N11" s="438"/>
      <c r="O11" s="438"/>
      <c r="P11" s="439"/>
      <c r="Q11" s="610" t="s">
        <v>23</v>
      </c>
      <c r="R11" s="487"/>
      <c r="S11" s="487"/>
      <c r="T11" s="487"/>
      <c r="U11" s="487"/>
      <c r="V11" s="487"/>
      <c r="W11" s="487"/>
      <c r="X11" s="487"/>
      <c r="Y11" s="487"/>
      <c r="Z11" s="487"/>
      <c r="AA11" s="487"/>
      <c r="AB11" s="487"/>
      <c r="AC11" s="487"/>
      <c r="AD11" s="487"/>
      <c r="AE11" s="487"/>
      <c r="AF11" s="611" t="s">
        <v>24</v>
      </c>
      <c r="AG11" s="612"/>
      <c r="AH11" s="612"/>
      <c r="AI11" s="612"/>
    </row>
    <row r="12" spans="1:35" ht="91.5" customHeight="1" x14ac:dyDescent="0.35">
      <c r="A12" s="286" t="s">
        <v>25</v>
      </c>
      <c r="B12" s="294" t="s">
        <v>26</v>
      </c>
      <c r="C12" s="294" t="s">
        <v>27</v>
      </c>
      <c r="D12" s="294" t="s">
        <v>28</v>
      </c>
      <c r="E12" s="294" t="s">
        <v>29</v>
      </c>
      <c r="F12" s="294" t="s">
        <v>30</v>
      </c>
      <c r="G12" s="294" t="s">
        <v>1705</v>
      </c>
      <c r="H12" s="286" t="s">
        <v>1706</v>
      </c>
      <c r="I12" s="286" t="s">
        <v>1707</v>
      </c>
      <c r="J12" s="286" t="s">
        <v>1708</v>
      </c>
      <c r="K12" s="286" t="s">
        <v>1709</v>
      </c>
      <c r="L12" s="286" t="s">
        <v>34</v>
      </c>
      <c r="M12" s="286" t="s">
        <v>35</v>
      </c>
      <c r="N12" s="294" t="s">
        <v>36</v>
      </c>
      <c r="O12" s="310" t="s">
        <v>37</v>
      </c>
      <c r="P12" s="311" t="s">
        <v>38</v>
      </c>
      <c r="Q12" s="312" t="s">
        <v>39</v>
      </c>
      <c r="R12" s="291" t="s">
        <v>40</v>
      </c>
      <c r="S12" s="291" t="s">
        <v>41</v>
      </c>
      <c r="T12" s="291" t="s">
        <v>42</v>
      </c>
      <c r="U12" s="291" t="s">
        <v>43</v>
      </c>
      <c r="V12" s="291" t="s">
        <v>44</v>
      </c>
      <c r="W12" s="291" t="s">
        <v>45</v>
      </c>
      <c r="X12" s="291" t="s">
        <v>46</v>
      </c>
      <c r="Y12" s="291" t="s">
        <v>47</v>
      </c>
      <c r="Z12" s="291" t="s">
        <v>47</v>
      </c>
      <c r="AA12" s="291" t="s">
        <v>49</v>
      </c>
      <c r="AB12" s="291" t="s">
        <v>50</v>
      </c>
      <c r="AC12" s="291" t="s">
        <v>51</v>
      </c>
      <c r="AD12" s="291" t="s">
        <v>52</v>
      </c>
      <c r="AE12" s="291" t="s">
        <v>53</v>
      </c>
      <c r="AF12" s="435" t="s">
        <v>216</v>
      </c>
      <c r="AG12" s="394" t="s">
        <v>217</v>
      </c>
      <c r="AH12" s="394" t="s">
        <v>218</v>
      </c>
      <c r="AI12" s="435" t="s">
        <v>219</v>
      </c>
    </row>
    <row r="13" spans="1:35"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291"/>
      <c r="AE13" s="291"/>
      <c r="AF13" s="436"/>
      <c r="AG13" s="395"/>
      <c r="AH13" s="395"/>
      <c r="AI13" s="436"/>
    </row>
    <row r="14" spans="1:35" ht="40.4" customHeight="1" thickBot="1" x14ac:dyDescent="0.4">
      <c r="A14" s="262">
        <v>1</v>
      </c>
      <c r="B14" s="262" t="s">
        <v>81</v>
      </c>
      <c r="C14" s="262" t="s">
        <v>98</v>
      </c>
      <c r="D14" s="262" t="s">
        <v>60</v>
      </c>
      <c r="E14" s="262" t="s">
        <v>83</v>
      </c>
      <c r="F14" s="280"/>
      <c r="G14" s="262" t="s">
        <v>1710</v>
      </c>
      <c r="H14" s="262" t="s">
        <v>215</v>
      </c>
      <c r="I14" s="262" t="s">
        <v>1711</v>
      </c>
      <c r="J14" s="262" t="s">
        <v>1712</v>
      </c>
      <c r="K14" s="262" t="s">
        <v>1713</v>
      </c>
      <c r="L14" s="262" t="s">
        <v>1714</v>
      </c>
      <c r="M14" s="262" t="s">
        <v>1715</v>
      </c>
      <c r="N14" s="275" t="s">
        <v>67</v>
      </c>
      <c r="O14" s="278">
        <v>45323</v>
      </c>
      <c r="P14" s="278">
        <v>45688</v>
      </c>
      <c r="Q14" s="15" t="s">
        <v>68</v>
      </c>
      <c r="R14" s="16">
        <f>+(R15*S14)</f>
        <v>0.05</v>
      </c>
      <c r="S14" s="17">
        <f t="shared" ref="S14:S23" si="0">SUM(T14:AE14)</f>
        <v>0.25</v>
      </c>
      <c r="T14" s="18"/>
      <c r="U14" s="18"/>
      <c r="V14" s="18">
        <v>0.25</v>
      </c>
      <c r="W14" s="18"/>
      <c r="X14" s="18"/>
      <c r="Y14" s="18"/>
      <c r="Z14" s="18"/>
      <c r="AA14" s="19"/>
      <c r="AB14" s="19"/>
      <c r="AC14" s="19"/>
      <c r="AD14" s="19"/>
      <c r="AE14" s="19"/>
      <c r="AF14" s="389" t="s">
        <v>1716</v>
      </c>
      <c r="AG14" s="428"/>
      <c r="AH14" s="475"/>
      <c r="AI14" s="475"/>
    </row>
    <row r="15" spans="1:35" ht="59.9" customHeight="1" thickBot="1" x14ac:dyDescent="0.4">
      <c r="A15" s="263"/>
      <c r="B15" s="263"/>
      <c r="C15" s="263"/>
      <c r="D15" s="263" t="s">
        <v>60</v>
      </c>
      <c r="E15" s="263"/>
      <c r="F15" s="290"/>
      <c r="G15" s="263"/>
      <c r="H15" s="263"/>
      <c r="I15" s="263"/>
      <c r="J15" s="263"/>
      <c r="K15" s="263"/>
      <c r="L15" s="263"/>
      <c r="M15" s="263"/>
      <c r="N15" s="277"/>
      <c r="O15" s="605"/>
      <c r="P15" s="605"/>
      <c r="Q15" s="15" t="s">
        <v>69</v>
      </c>
      <c r="R15" s="21">
        <f>100%/5</f>
        <v>0.2</v>
      </c>
      <c r="S15" s="17">
        <f t="shared" si="0"/>
        <v>1</v>
      </c>
      <c r="T15" s="22"/>
      <c r="U15" s="22"/>
      <c r="V15" s="22">
        <v>0.25</v>
      </c>
      <c r="W15" s="22"/>
      <c r="X15" s="22"/>
      <c r="Y15" s="22">
        <v>0.25</v>
      </c>
      <c r="Z15" s="22"/>
      <c r="AA15" s="22"/>
      <c r="AB15" s="22">
        <v>0.25</v>
      </c>
      <c r="AC15" s="22"/>
      <c r="AD15" s="22"/>
      <c r="AE15" s="22">
        <v>0.25</v>
      </c>
      <c r="AF15" s="364"/>
      <c r="AG15" s="429"/>
      <c r="AH15" s="476"/>
      <c r="AI15" s="476"/>
    </row>
    <row r="16" spans="1:35" ht="37.4" customHeight="1" thickBot="1" x14ac:dyDescent="0.4">
      <c r="A16" s="262">
        <v>2</v>
      </c>
      <c r="B16" s="262" t="s">
        <v>81</v>
      </c>
      <c r="C16" s="262" t="s">
        <v>98</v>
      </c>
      <c r="D16" s="262" t="s">
        <v>60</v>
      </c>
      <c r="E16" s="262" t="s">
        <v>83</v>
      </c>
      <c r="F16" s="280"/>
      <c r="G16" s="262" t="s">
        <v>1717</v>
      </c>
      <c r="H16" s="262" t="s">
        <v>215</v>
      </c>
      <c r="I16" s="262" t="s">
        <v>1718</v>
      </c>
      <c r="J16" s="261" t="s">
        <v>1719</v>
      </c>
      <c r="K16" s="261" t="s">
        <v>1720</v>
      </c>
      <c r="L16" s="262" t="s">
        <v>1714</v>
      </c>
      <c r="M16" s="262" t="s">
        <v>1715</v>
      </c>
      <c r="N16" s="275" t="s">
        <v>67</v>
      </c>
      <c r="O16" s="278">
        <v>45323</v>
      </c>
      <c r="P16" s="278">
        <v>45688</v>
      </c>
      <c r="Q16" s="15" t="s">
        <v>68</v>
      </c>
      <c r="R16" s="16">
        <f>+(R17*S16)</f>
        <v>0.05</v>
      </c>
      <c r="S16" s="17">
        <f t="shared" si="0"/>
        <v>0.25</v>
      </c>
      <c r="T16" s="18"/>
      <c r="U16" s="18"/>
      <c r="V16" s="18">
        <v>0.25</v>
      </c>
      <c r="W16" s="18"/>
      <c r="X16" s="18"/>
      <c r="Y16" s="18"/>
      <c r="Z16" s="18"/>
      <c r="AA16" s="19"/>
      <c r="AB16" s="19"/>
      <c r="AC16" s="19"/>
      <c r="AD16" s="19"/>
      <c r="AE16" s="19"/>
      <c r="AF16" s="389" t="s">
        <v>1721</v>
      </c>
      <c r="AG16" s="428"/>
      <c r="AH16" s="475"/>
      <c r="AI16" s="475"/>
    </row>
    <row r="17" spans="1:35" ht="100.5" customHeight="1" thickBot="1" x14ac:dyDescent="0.4">
      <c r="A17" s="271"/>
      <c r="B17" s="263"/>
      <c r="C17" s="263"/>
      <c r="D17" s="263"/>
      <c r="E17" s="263"/>
      <c r="F17" s="281"/>
      <c r="G17" s="263"/>
      <c r="H17" s="263"/>
      <c r="I17" s="263"/>
      <c r="J17" s="261"/>
      <c r="K17" s="261"/>
      <c r="L17" s="263"/>
      <c r="M17" s="263"/>
      <c r="N17" s="277"/>
      <c r="O17" s="605"/>
      <c r="P17" s="605"/>
      <c r="Q17" s="15" t="s">
        <v>69</v>
      </c>
      <c r="R17" s="21">
        <f>100%/5</f>
        <v>0.2</v>
      </c>
      <c r="S17" s="17">
        <f t="shared" si="0"/>
        <v>1</v>
      </c>
      <c r="T17" s="22"/>
      <c r="U17" s="22"/>
      <c r="V17" s="22">
        <v>0.25</v>
      </c>
      <c r="W17" s="22"/>
      <c r="X17" s="22"/>
      <c r="Y17" s="22">
        <v>0.25</v>
      </c>
      <c r="Z17" s="22"/>
      <c r="AA17" s="22"/>
      <c r="AB17" s="22">
        <v>0.25</v>
      </c>
      <c r="AC17" s="22"/>
      <c r="AD17" s="22"/>
      <c r="AE17" s="22">
        <v>0.25</v>
      </c>
      <c r="AF17" s="364"/>
      <c r="AG17" s="429"/>
      <c r="AH17" s="476"/>
      <c r="AI17" s="476"/>
    </row>
    <row r="18" spans="1:35" ht="37.4" customHeight="1" thickBot="1" x14ac:dyDescent="0.4">
      <c r="A18" s="261">
        <v>3</v>
      </c>
      <c r="B18" s="262" t="s">
        <v>81</v>
      </c>
      <c r="C18" s="262" t="s">
        <v>98</v>
      </c>
      <c r="D18" s="262" t="s">
        <v>60</v>
      </c>
      <c r="E18" s="262" t="s">
        <v>83</v>
      </c>
      <c r="F18" s="193"/>
      <c r="G18" s="262" t="s">
        <v>1722</v>
      </c>
      <c r="H18" s="262" t="s">
        <v>215</v>
      </c>
      <c r="I18" s="262" t="s">
        <v>1723</v>
      </c>
      <c r="J18" s="262" t="s">
        <v>1724</v>
      </c>
      <c r="K18" s="262" t="s">
        <v>1725</v>
      </c>
      <c r="L18" s="262" t="s">
        <v>1714</v>
      </c>
      <c r="M18" s="262" t="s">
        <v>1715</v>
      </c>
      <c r="N18" s="275" t="s">
        <v>67</v>
      </c>
      <c r="O18" s="278">
        <v>45323</v>
      </c>
      <c r="P18" s="278">
        <v>45688</v>
      </c>
      <c r="Q18" s="15" t="s">
        <v>68</v>
      </c>
      <c r="R18" s="16">
        <f>+(R19*S18)</f>
        <v>0.05</v>
      </c>
      <c r="S18" s="17">
        <f t="shared" si="0"/>
        <v>0.25</v>
      </c>
      <c r="T18" s="18"/>
      <c r="U18" s="18"/>
      <c r="V18" s="18">
        <v>0.25</v>
      </c>
      <c r="W18" s="18"/>
      <c r="X18" s="18"/>
      <c r="Y18" s="18"/>
      <c r="Z18" s="18"/>
      <c r="AA18" s="19"/>
      <c r="AB18" s="19"/>
      <c r="AC18" s="19"/>
      <c r="AD18" s="19"/>
      <c r="AE18" s="19"/>
      <c r="AF18" s="608" t="s">
        <v>1726</v>
      </c>
      <c r="AG18" s="380"/>
      <c r="AH18" s="380"/>
      <c r="AI18" s="380"/>
    </row>
    <row r="19" spans="1:35" ht="100.5" customHeight="1" thickBot="1" x14ac:dyDescent="0.4">
      <c r="A19" s="261"/>
      <c r="B19" s="263"/>
      <c r="C19" s="263"/>
      <c r="D19" s="263" t="s">
        <v>60</v>
      </c>
      <c r="E19" s="263"/>
      <c r="F19" s="192"/>
      <c r="G19" s="271"/>
      <c r="H19" s="263"/>
      <c r="I19" s="263"/>
      <c r="J19" s="271"/>
      <c r="K19" s="271"/>
      <c r="L19" s="263"/>
      <c r="M19" s="263"/>
      <c r="N19" s="277"/>
      <c r="O19" s="605"/>
      <c r="P19" s="605"/>
      <c r="Q19" s="15" t="s">
        <v>69</v>
      </c>
      <c r="R19" s="21">
        <f>100%/5</f>
        <v>0.2</v>
      </c>
      <c r="S19" s="17">
        <f t="shared" si="0"/>
        <v>1</v>
      </c>
      <c r="T19" s="22"/>
      <c r="U19" s="22"/>
      <c r="V19" s="22">
        <v>0.25</v>
      </c>
      <c r="W19" s="22"/>
      <c r="X19" s="22"/>
      <c r="Y19" s="22">
        <v>0.25</v>
      </c>
      <c r="Z19" s="22"/>
      <c r="AA19" s="22"/>
      <c r="AB19" s="22">
        <v>0.25</v>
      </c>
      <c r="AC19" s="22"/>
      <c r="AD19" s="22"/>
      <c r="AE19" s="22">
        <v>0.25</v>
      </c>
      <c r="AF19" s="609"/>
      <c r="AG19" s="380"/>
      <c r="AH19" s="380"/>
      <c r="AI19" s="380"/>
    </row>
    <row r="20" spans="1:35" ht="37.4" customHeight="1" thickBot="1" x14ac:dyDescent="0.4">
      <c r="A20" s="261">
        <v>4</v>
      </c>
      <c r="B20" s="262" t="s">
        <v>81</v>
      </c>
      <c r="C20" s="262" t="s">
        <v>82</v>
      </c>
      <c r="D20" s="262" t="s">
        <v>60</v>
      </c>
      <c r="E20" s="262" t="s">
        <v>83</v>
      </c>
      <c r="F20" s="272"/>
      <c r="G20" s="261" t="s">
        <v>1727</v>
      </c>
      <c r="H20" s="262" t="s">
        <v>215</v>
      </c>
      <c r="I20" s="262" t="s">
        <v>1728</v>
      </c>
      <c r="J20" s="273" t="s">
        <v>1729</v>
      </c>
      <c r="K20" s="525" t="s">
        <v>1730</v>
      </c>
      <c r="L20" s="262" t="s">
        <v>1714</v>
      </c>
      <c r="M20" s="262" t="s">
        <v>1715</v>
      </c>
      <c r="N20" s="275" t="s">
        <v>67</v>
      </c>
      <c r="O20" s="278">
        <v>45323</v>
      </c>
      <c r="P20" s="278">
        <v>45688</v>
      </c>
      <c r="Q20" s="15" t="s">
        <v>68</v>
      </c>
      <c r="R20" s="16">
        <f>+(R21*S20)</f>
        <v>4.7220000000000005E-2</v>
      </c>
      <c r="S20" s="17">
        <f t="shared" si="0"/>
        <v>0.2361</v>
      </c>
      <c r="T20" s="26"/>
      <c r="U20" s="26"/>
      <c r="V20" s="75">
        <v>0.2361</v>
      </c>
      <c r="W20" s="18"/>
      <c r="X20" s="18"/>
      <c r="Y20" s="18"/>
      <c r="Z20" s="18"/>
      <c r="AA20" s="19"/>
      <c r="AB20" s="19"/>
      <c r="AC20" s="19"/>
      <c r="AD20" s="19"/>
      <c r="AE20" s="19"/>
      <c r="AF20" s="380" t="s">
        <v>1731</v>
      </c>
      <c r="AG20" s="606"/>
      <c r="AH20" s="606"/>
      <c r="AI20" s="606"/>
    </row>
    <row r="21" spans="1:35" ht="150.65" customHeight="1" thickBot="1" x14ac:dyDescent="0.4">
      <c r="A21" s="261"/>
      <c r="B21" s="263"/>
      <c r="C21" s="263"/>
      <c r="D21" s="263" t="s">
        <v>60</v>
      </c>
      <c r="E21" s="263"/>
      <c r="F21" s="272"/>
      <c r="G21" s="261"/>
      <c r="H21" s="263"/>
      <c r="I21" s="263"/>
      <c r="J21" s="273"/>
      <c r="K21" s="525"/>
      <c r="L21" s="263"/>
      <c r="M21" s="263"/>
      <c r="N21" s="277"/>
      <c r="O21" s="605"/>
      <c r="P21" s="605"/>
      <c r="Q21" s="15" t="s">
        <v>69</v>
      </c>
      <c r="R21" s="21">
        <f>100%/5</f>
        <v>0.2</v>
      </c>
      <c r="S21" s="17">
        <f t="shared" si="0"/>
        <v>1</v>
      </c>
      <c r="T21" s="22"/>
      <c r="U21" s="22"/>
      <c r="V21" s="22">
        <v>0.25</v>
      </c>
      <c r="W21" s="22"/>
      <c r="X21" s="22"/>
      <c r="Y21" s="22">
        <v>0.25</v>
      </c>
      <c r="Z21" s="22"/>
      <c r="AA21" s="22"/>
      <c r="AB21" s="22">
        <v>0.25</v>
      </c>
      <c r="AC21" s="22"/>
      <c r="AD21" s="22"/>
      <c r="AE21" s="22">
        <v>0.25</v>
      </c>
      <c r="AF21" s="505"/>
      <c r="AG21" s="607"/>
      <c r="AH21" s="607"/>
      <c r="AI21" s="607"/>
    </row>
    <row r="22" spans="1:35" ht="37.4" customHeight="1" thickBot="1" x14ac:dyDescent="0.4">
      <c r="A22" s="262">
        <v>5</v>
      </c>
      <c r="B22" s="262" t="s">
        <v>81</v>
      </c>
      <c r="C22" s="262" t="s">
        <v>82</v>
      </c>
      <c r="D22" s="262" t="s">
        <v>60</v>
      </c>
      <c r="E22" s="262" t="s">
        <v>83</v>
      </c>
      <c r="F22" s="272"/>
      <c r="G22" s="368" t="s">
        <v>1732</v>
      </c>
      <c r="H22" s="262" t="s">
        <v>215</v>
      </c>
      <c r="I22" s="262" t="s">
        <v>1733</v>
      </c>
      <c r="J22" s="368" t="s">
        <v>1734</v>
      </c>
      <c r="K22" s="368" t="s">
        <v>1735</v>
      </c>
      <c r="L22" s="262" t="s">
        <v>1714</v>
      </c>
      <c r="M22" s="262" t="s">
        <v>1715</v>
      </c>
      <c r="N22" s="275" t="s">
        <v>67</v>
      </c>
      <c r="O22" s="278">
        <v>45323</v>
      </c>
      <c r="P22" s="278">
        <v>45688</v>
      </c>
      <c r="Q22" s="15" t="s">
        <v>68</v>
      </c>
      <c r="R22" s="16">
        <f>+(R23*S22)</f>
        <v>0.05</v>
      </c>
      <c r="S22" s="17">
        <f t="shared" si="0"/>
        <v>0.25</v>
      </c>
      <c r="T22" s="25"/>
      <c r="U22" s="25"/>
      <c r="V22" s="18">
        <v>0.25</v>
      </c>
      <c r="W22" s="25"/>
      <c r="X22" s="25"/>
      <c r="Y22" s="18"/>
      <c r="Z22" s="25"/>
      <c r="AA22" s="25"/>
      <c r="AB22" s="25"/>
      <c r="AC22" s="25"/>
      <c r="AD22" s="25"/>
      <c r="AE22" s="25"/>
      <c r="AF22" s="363" t="s">
        <v>1736</v>
      </c>
      <c r="AG22" s="428"/>
      <c r="AH22" s="475"/>
      <c r="AI22" s="475"/>
    </row>
    <row r="23" spans="1:35" ht="267" customHeight="1" x14ac:dyDescent="0.35">
      <c r="A23" s="263"/>
      <c r="B23" s="263"/>
      <c r="C23" s="263"/>
      <c r="D23" s="263" t="s">
        <v>60</v>
      </c>
      <c r="E23" s="263"/>
      <c r="F23" s="272"/>
      <c r="G23" s="369"/>
      <c r="H23" s="263"/>
      <c r="I23" s="263"/>
      <c r="J23" s="369"/>
      <c r="K23" s="369"/>
      <c r="L23" s="263"/>
      <c r="M23" s="263"/>
      <c r="N23" s="277"/>
      <c r="O23" s="605"/>
      <c r="P23" s="605"/>
      <c r="Q23" s="15" t="s">
        <v>69</v>
      </c>
      <c r="R23" s="21">
        <f>100%/5</f>
        <v>0.2</v>
      </c>
      <c r="S23" s="17">
        <f t="shared" si="0"/>
        <v>1</v>
      </c>
      <c r="T23" s="22"/>
      <c r="U23" s="22"/>
      <c r="V23" s="22">
        <v>0.25</v>
      </c>
      <c r="W23" s="22"/>
      <c r="X23" s="22"/>
      <c r="Y23" s="22">
        <v>0.25</v>
      </c>
      <c r="Z23" s="22"/>
      <c r="AA23" s="22"/>
      <c r="AB23" s="22">
        <v>0.25</v>
      </c>
      <c r="AC23" s="22"/>
      <c r="AD23" s="22"/>
      <c r="AE23" s="22">
        <v>0.25</v>
      </c>
      <c r="AF23" s="364"/>
      <c r="AG23" s="429"/>
      <c r="AH23" s="476"/>
      <c r="AI23" s="476"/>
    </row>
    <row r="24" spans="1:35" ht="14.15" hidden="1" customHeight="1" x14ac:dyDescent="0.35">
      <c r="A24" s="262">
        <v>7</v>
      </c>
      <c r="B24" s="603" t="s">
        <v>1737</v>
      </c>
      <c r="C24" s="603" t="s">
        <v>1738</v>
      </c>
      <c r="D24" s="603" t="s">
        <v>126</v>
      </c>
      <c r="E24" s="603" t="s">
        <v>83</v>
      </c>
      <c r="H24" s="211"/>
      <c r="I24" s="54" t="s">
        <v>114</v>
      </c>
      <c r="J24" s="46"/>
      <c r="K24" s="47"/>
      <c r="L24" s="47"/>
      <c r="M24" s="47"/>
      <c r="N24" s="47"/>
      <c r="O24" s="47"/>
      <c r="P24" s="47"/>
      <c r="Q24" s="47"/>
      <c r="R24" s="48"/>
      <c r="S24" s="47"/>
      <c r="T24" s="47"/>
      <c r="U24" s="49"/>
      <c r="V24" s="50"/>
      <c r="W24" s="50"/>
      <c r="X24" s="50"/>
      <c r="Y24" s="50"/>
      <c r="Z24" s="50"/>
      <c r="AA24" s="50"/>
      <c r="AB24" s="50"/>
      <c r="AC24" s="50" t="e">
        <f>+#REF!+#REF!</f>
        <v>#REF!</v>
      </c>
      <c r="AD24" s="51"/>
      <c r="AE24" s="55"/>
    </row>
    <row r="25" spans="1:35" ht="14.15" hidden="1" customHeight="1" x14ac:dyDescent="0.35">
      <c r="A25" s="263"/>
      <c r="B25" s="604"/>
      <c r="C25" s="604"/>
      <c r="D25" s="604"/>
      <c r="E25" s="604"/>
      <c r="H25" s="79"/>
      <c r="I25" s="265" t="s">
        <v>115</v>
      </c>
      <c r="J25" s="265"/>
      <c r="K25" s="56"/>
      <c r="L25" s="56"/>
      <c r="M25" s="56"/>
      <c r="N25" s="56"/>
      <c r="O25" s="56"/>
      <c r="P25" s="56" t="e">
        <f>+#REF!/#REF!</f>
        <v>#REF!</v>
      </c>
      <c r="Q25" s="57" t="e">
        <f>+(#REF!+#REF!+#REF!+#REF!+#REF!+#REF!+#REF!+#REF!)/(#REF!+#REF!+#REF!+#REF!+#REF!+#REF!+#REF!+#REF!)</f>
        <v>#REF!</v>
      </c>
      <c r="R25" s="58" t="e">
        <f>+(#REF!+#REF!+#REF!+#REF!+#REF!+#REF!+#REF!+#REF!+#REF!)/(#REF!+#REF!+#REF!+#REF!+#REF!+#REF!+#REF!+#REF!+#REF!)</f>
        <v>#REF!</v>
      </c>
      <c r="S25" s="56" t="e">
        <f>+(#REF!+#REF!+#REF!+#REF!+#REF!+#REF!+#REF!+#REF!+#REF!+#REF!)/(#REF!+#REF!+#REF!+#REF!+#REF!+#REF!+#REF!+#REF!+#REF!+#REF!)</f>
        <v>#REF!</v>
      </c>
      <c r="T25" s="56" t="e">
        <f>+(#REF!+#REF!+#REF!+#REF!+#REF!+#REF!+#REF!+#REF!+#REF!+#REF!+#REF!)/(#REF!+#REF!+#REF!+#REF!+#REF!+#REF!+#REF!+#REF!+#REF!+#REF!+#REF!)</f>
        <v>#REF!</v>
      </c>
      <c r="U25" s="57" t="e">
        <f>+(#REF!+#REF!+#REF!+#REF!+#REF!+#REF!+#REF!+#REF!+#REF!+#REF!+#REF!+#REF!)/(#REF!+#REF!+#REF!+#REF!+#REF!+#REF!+#REF!+#REF!+#REF!+#REF!+#REF!+#REF!)</f>
        <v>#REF!</v>
      </c>
      <c r="V25" s="56" t="e">
        <f>+(#REF!+#REF!+#REF!+#REF!+#REF!+#REF!+#REF!+#REF!+#REF!+#REF!+#REF!+#REF!+#REF!)/(#REF!+#REF!+#REF!+#REF!+#REF!+#REF!+#REF!+#REF!+#REF!+#REF!+#REF!+#REF!+#REF!)</f>
        <v>#REF!</v>
      </c>
      <c r="W25" s="56" t="e">
        <f>+(#REF!+#REF!+#REF!+#REF!+#REF!+#REF!+#REF!+#REF!+#REF!+#REF!+#REF!+#REF!+#REF!+#REF!)/(#REF!+#REF!+#REF!+#REF!+#REF!+#REF!+#REF!+#REF!+#REF!+#REF!+#REF!+#REF!+#REF!+#REF!)</f>
        <v>#REF!</v>
      </c>
      <c r="X25" s="56" t="e">
        <f>+(#REF!+#REF!+#REF!+#REF!+#REF!+#REF!+#REF!+#REF!+#REF!+#REF!+#REF!+#REF!+#REF!+#REF!+#REF!)/(#REF!+#REF!+#REF!+#REF!+#REF!+#REF!+#REF!+#REF!+#REF!+#REF!+#REF!+#REF!+#REF!+#REF!+#REF!)</f>
        <v>#REF!</v>
      </c>
      <c r="Y25" s="57" t="e">
        <f>+(#REF!+#REF!+#REF!+#REF!+#REF!+#REF!+#REF!+#REF!+#REF!+#REF!+#REF!+#REF!+#REF!+#REF!+#REF!+#REF!)/(#REF!+#REF!+#REF!+#REF!+#REF!+#REF!+#REF!+#REF!+#REF!+#REF!+#REF!+#REF!+#REF!+#REF!+#REF!+#REF!)</f>
        <v>#REF!</v>
      </c>
      <c r="Z25" s="56" t="e">
        <f>+(#REF!+#REF!+#REF!+#REF!+#REF!+#REF!+#REF!+#REF!+#REF!+#REF!+#REF!+#REF!+#REF!+#REF!+#REF!+#REF!+#REF!)/(#REF!+#REF!+#REF!+#REF!+#REF!+#REF!+#REF!+#REF!+#REF!+#REF!+#REF!+#REF!+#REF!+#REF!+#REF!+#REF!+#REF!)</f>
        <v>#REF!</v>
      </c>
      <c r="AA25" s="56" t="e">
        <f>+(#REF!+#REF!+#REF!+#REF!+#REF!+#REF!+#REF!+#REF!+#REF!+#REF!+#REF!+#REF!+#REF!+#REF!+#REF!+#REF!+#REF!+#REF!)/(#REF!+#REF!+#REF!+#REF!+#REF!+#REF!+#REF!+#REF!+#REF!+#REF!+#REF!+#REF!+#REF!+#REF!+#REF!+#REF!+#REF!+#REF!)</f>
        <v>#REF!</v>
      </c>
      <c r="AB25" s="56" t="e">
        <f>+(#REF!+#REF!+#REF!+#REF!+#REF!+#REF!+#REF!+#REF!+#REF!+#REF!+#REF!+#REF!+#REF!+#REF!+#REF!+#REF!+#REF!+#REF!+#REF!)/(#REF!+#REF!+#REF!+#REF!+#REF!+#REF!+#REF!+#REF!+#REF!+#REF!+#REF!+#REF!+#REF!+#REF!+#REF!+#REF!+#REF!+#REF!+#REF!)</f>
        <v>#REF!</v>
      </c>
      <c r="AC25" s="57" t="e">
        <f>+(#REF!+#REF!+#REF!+#REF!+#REF!+#REF!+#REF!+#REF!+#REF!+#REF!+#REF!+#REF!+#REF!+#REF!+#REF!+#REF!+#REF!+#REF!+#REF!+#REF!)/(#REF!+#REF!+#REF!+#REF!+#REF!+#REF!+#REF!+#REF!+#REF!+#REF!+#REF!+#REF!+#REF!+#REF!+#REF!+#REF!+#REF!+#REF!+#REF!+#REF!)</f>
        <v>#REF!</v>
      </c>
      <c r="AD25" s="58" t="e">
        <f>+(#REF!+#REF!+#REF!+#REF!+#REF!+#REF!+#REF!+#REF!+#REF!+#REF!+#REF!+#REF!+#REF!+#REF!+#REF!+#REF!+#REF!+#REF!+#REF!+#REF!+#REF!)/(#REF!+#REF!+#REF!+#REF!+#REF!+#REF!+#REF!+#REF!+#REF!+#REF!+#REF!+#REF!+#REF!+#REF!+#REF!+#REF!+#REF!+#REF!+#REF!+#REF!+#REF!)</f>
        <v>#REF!</v>
      </c>
      <c r="AE25" s="56" t="e">
        <f>+(#REF!+#REF!+#REF!+#REF!+#REF!+#REF!+#REF!+#REF!+#REF!+#REF!+#REF!+#REF!+#REF!+#REF!+#REF!+#REF!+#REF!+#REF!+#REF!+#REF!+#REF!+#REF!)/(#REF!+#REF!+#REF!+#REF!+#REF!+#REF!+#REF!+#REF!+#REF!+#REF!+#REF!+#REF!+#REF!+#REF!+#REF!+#REF!+#REF!+#REF!+#REF!+#REF!+#REF!+#REF!)</f>
        <v>#REF!</v>
      </c>
    </row>
    <row r="26" spans="1:35" ht="14.15" hidden="1" customHeight="1" x14ac:dyDescent="0.35">
      <c r="I26" s="266" t="s">
        <v>116</v>
      </c>
      <c r="J26" s="266"/>
      <c r="L26" s="57"/>
      <c r="M26" s="57"/>
      <c r="N26" s="57"/>
      <c r="O26" s="57"/>
      <c r="P26" s="57" t="e">
        <f>+#REF!/#REF!</f>
        <v>#REF!</v>
      </c>
      <c r="Q26" s="57" t="e">
        <f>+(#REF!+#REF!+#REF!+#REF!+#REF!+#REF!+#REF!+#REF!)/#REF!</f>
        <v>#REF!</v>
      </c>
      <c r="R26" s="60" t="e">
        <f>+(#REF!+#REF!+#REF!+#REF!+#REF!+#REF!+#REF!+#REF!+#REF!)/#REF!</f>
        <v>#REF!</v>
      </c>
      <c r="S26" s="57" t="e">
        <f>+(#REF!+#REF!+#REF!+#REF!+#REF!+#REF!+#REF!+#REF!+#REF!+#REF!)/#REF!</f>
        <v>#REF!</v>
      </c>
      <c r="T26" s="57" t="e">
        <f>+(#REF!+#REF!+#REF!+#REF!+#REF!+#REF!+#REF!+#REF!+#REF!+#REF!+#REF!)/#REF!</f>
        <v>#REF!</v>
      </c>
      <c r="U26" s="57" t="e">
        <f>+(#REF!+#REF!+#REF!+#REF!+#REF!+#REF!+#REF!+#REF!+#REF!+#REF!+#REF!+#REF!)/#REF!</f>
        <v>#REF!</v>
      </c>
      <c r="V26" s="57" t="e">
        <f>+(#REF!+#REF!+#REF!+#REF!+#REF!+#REF!+#REF!+#REF!+#REF!+#REF!+#REF!+#REF!+#REF!)/#REF!</f>
        <v>#REF!</v>
      </c>
      <c r="W26" s="57" t="e">
        <f>+(#REF!+#REF!+#REF!+#REF!+#REF!+#REF!+#REF!+#REF!+#REF!+#REF!+#REF!+#REF!+#REF!+#REF!)/#REF!</f>
        <v>#REF!</v>
      </c>
      <c r="X26" s="57" t="e">
        <f>+(#REF!+#REF!+#REF!+#REF!+#REF!+#REF!+#REF!+#REF!+#REF!+#REF!+#REF!+#REF!+#REF!+#REF!+#REF!)/#REF!</f>
        <v>#REF!</v>
      </c>
      <c r="Y26" s="57" t="e">
        <f>+(#REF!+#REF!+#REF!+#REF!+#REF!+#REF!+#REF!+#REF!+#REF!+#REF!+#REF!+#REF!+#REF!+#REF!+#REF!+#REF!)/#REF!</f>
        <v>#REF!</v>
      </c>
      <c r="Z26" s="57" t="e">
        <f>+(#REF!+#REF!+#REF!+#REF!+#REF!+#REF!+#REF!+#REF!+#REF!+#REF!+#REF!+#REF!+#REF!+#REF!+#REF!+#REF!+#REF!)/#REF!</f>
        <v>#REF!</v>
      </c>
      <c r="AA26" s="57" t="e">
        <f>+(#REF!+#REF!+#REF!+#REF!+#REF!+#REF!+#REF!+#REF!+#REF!+#REF!+#REF!+#REF!+#REF!+#REF!+#REF!+#REF!+#REF!+#REF!)/#REF!</f>
        <v>#REF!</v>
      </c>
      <c r="AB26" s="57" t="e">
        <f>+(#REF!+#REF!+#REF!+#REF!+#REF!+#REF!+#REF!+#REF!+#REF!+#REF!+#REF!+#REF!+#REF!+#REF!+#REF!+#REF!+#REF!+#REF!+#REF!)/#REF!</f>
        <v>#REF!</v>
      </c>
      <c r="AC26" s="57" t="e">
        <f>+(#REF!+#REF!+#REF!+#REF!+#REF!+#REF!+#REF!+#REF!+#REF!+#REF!+#REF!+#REF!+#REF!+#REF!+#REF!+#REF!+#REF!+#REF!+#REF!+#REF!)/#REF!</f>
        <v>#REF!</v>
      </c>
      <c r="AD26" s="60" t="e">
        <f>+(#REF!+#REF!+#REF!+#REF!+#REF!+#REF!+#REF!+#REF!+#REF!+#REF!+#REF!+#REF!+#REF!+#REF!+#REF!+#REF!+#REF!+#REF!+#REF!+#REF!+#REF!)/#REF!</f>
        <v>#REF!</v>
      </c>
      <c r="AE26" s="57" t="e">
        <f>+(#REF!+#REF!+#REF!+#REF!+#REF!+#REF!+#REF!+#REF!+#REF!+#REF!+#REF!+#REF!+#REF!+#REF!+#REF!+#REF!+#REF!+#REF!+#REF!+#REF!+#REF!+#REF!)/#REF!</f>
        <v>#REF!</v>
      </c>
    </row>
    <row r="27" spans="1:35" ht="14.15" hidden="1" customHeight="1" x14ac:dyDescent="0.35">
      <c r="I27" s="265" t="s">
        <v>117</v>
      </c>
      <c r="J27" s="265"/>
      <c r="K27" s="62"/>
      <c r="L27" s="62"/>
      <c r="M27" s="62"/>
      <c r="N27" s="62"/>
      <c r="O27" s="62"/>
      <c r="P27" s="62"/>
      <c r="Q27" s="57" t="e">
        <f>+#REF!/#REF!</f>
        <v>#REF!</v>
      </c>
      <c r="R27" s="63"/>
      <c r="S27" s="62"/>
      <c r="T27" s="62"/>
      <c r="U27" s="57" t="e">
        <f>+#REF!/#REF!</f>
        <v>#REF!</v>
      </c>
      <c r="V27" s="62"/>
      <c r="W27" s="62"/>
      <c r="X27" s="62"/>
      <c r="Y27" s="57" t="e">
        <f>+#REF!/#REF!</f>
        <v>#REF!</v>
      </c>
      <c r="Z27" s="62"/>
      <c r="AA27" s="62"/>
      <c r="AB27" s="62"/>
      <c r="AC27" s="57" t="e">
        <f>+#REF!/#REF!</f>
        <v>#REF!</v>
      </c>
      <c r="AD27" s="63"/>
      <c r="AE27" s="62"/>
    </row>
    <row r="28" spans="1:35" ht="5.15" hidden="1" customHeight="1" x14ac:dyDescent="0.35">
      <c r="I28" s="266" t="s">
        <v>118</v>
      </c>
      <c r="J28" s="266"/>
      <c r="K28" s="62"/>
      <c r="L28" s="62"/>
      <c r="M28" s="62"/>
      <c r="N28" s="62"/>
      <c r="O28" s="62"/>
      <c r="P28" s="62"/>
      <c r="Q28" s="57" t="e">
        <f>+(#REF!+#REF!)/#REF!</f>
        <v>#REF!</v>
      </c>
      <c r="R28" s="63"/>
      <c r="S28" s="62"/>
      <c r="T28" s="62"/>
      <c r="U28" s="57" t="e">
        <f>+(#REF!+#REF!+#REF!)/#REF!</f>
        <v>#REF!</v>
      </c>
      <c r="V28" s="62"/>
      <c r="W28" s="62"/>
      <c r="X28" s="62"/>
      <c r="Y28" s="57" t="e">
        <f>+(#REF!+#REF!+#REF!+#REF!)/#REF!</f>
        <v>#REF!</v>
      </c>
      <c r="Z28" s="62"/>
      <c r="AA28" s="62"/>
      <c r="AB28" s="62"/>
      <c r="AC28" s="57" t="e">
        <f>+(#REF!+#REF!+#REF!+#REF!+#REF!)/#REF!</f>
        <v>#REF!</v>
      </c>
      <c r="AD28" s="63"/>
      <c r="AE28" s="62"/>
    </row>
    <row r="29" spans="1:35" ht="14.15" hidden="1" customHeight="1" x14ac:dyDescent="0.35">
      <c r="I29" s="265" t="s">
        <v>119</v>
      </c>
      <c r="J29" s="265"/>
      <c r="K29" s="62"/>
      <c r="L29" s="62"/>
      <c r="M29" s="62"/>
      <c r="N29" s="62"/>
      <c r="O29" s="62"/>
      <c r="P29" s="62"/>
      <c r="Q29" s="57" t="e">
        <f>+(#REF!+#REF!)/(#REF!+#REF!)</f>
        <v>#REF!</v>
      </c>
      <c r="R29" s="63"/>
      <c r="S29" s="62"/>
      <c r="T29" s="62"/>
      <c r="U29" s="62"/>
      <c r="V29" s="62"/>
      <c r="W29" s="62"/>
      <c r="X29" s="62"/>
      <c r="Y29" s="62"/>
      <c r="Z29" s="62"/>
      <c r="AA29" s="62"/>
      <c r="AB29" s="62"/>
      <c r="AC29" s="57" t="e">
        <f>+(#REF!+#REF!+#REF!+#REF!+#REF!)/(#REF!+#REF!+#REF!+#REF!+#REF!)</f>
        <v>#REF!</v>
      </c>
      <c r="AD29" s="63"/>
      <c r="AE29" s="62"/>
    </row>
    <row r="30" spans="1:35" ht="14.15" hidden="1" customHeight="1" x14ac:dyDescent="0.35">
      <c r="I30" s="265" t="s">
        <v>120</v>
      </c>
      <c r="J30" s="265"/>
      <c r="K30" s="62"/>
      <c r="L30" s="62"/>
      <c r="M30" s="62"/>
      <c r="N30" s="62"/>
      <c r="O30" s="62"/>
      <c r="P30" s="62"/>
      <c r="Q30" s="57" t="e">
        <f>+(#REF!+#REF!)/#REF!</f>
        <v>#REF!</v>
      </c>
      <c r="R30" s="63"/>
      <c r="S30" s="62"/>
      <c r="T30" s="62"/>
      <c r="U30" s="62"/>
      <c r="V30" s="62"/>
      <c r="W30" s="62"/>
      <c r="X30" s="62"/>
      <c r="Y30" s="62"/>
      <c r="Z30" s="62"/>
      <c r="AA30" s="62"/>
      <c r="AB30" s="62"/>
      <c r="AC30" s="57" t="e">
        <f>+(+#REF!+#REF!+#REF!+#REF!+#REF!)/#REF!</f>
        <v>#REF!</v>
      </c>
      <c r="AD30" s="63"/>
      <c r="AE30" s="62"/>
    </row>
    <row r="31" spans="1:35" ht="14.15" hidden="1" customHeight="1" x14ac:dyDescent="0.35"/>
    <row r="32" spans="1:35" ht="14.15" hidden="1" customHeight="1" x14ac:dyDescent="0.35">
      <c r="H32" s="424" t="s">
        <v>307</v>
      </c>
      <c r="I32" s="424"/>
      <c r="J32" s="66" t="e">
        <f>+#REF!</f>
        <v>#REF!</v>
      </c>
      <c r="K32" s="67"/>
      <c r="L32" s="67"/>
      <c r="M32" s="67"/>
      <c r="N32" s="67"/>
      <c r="O32" s="67"/>
      <c r="P32" s="67"/>
    </row>
    <row r="33" spans="8:16" ht="14.15" hidden="1" customHeight="1" x14ac:dyDescent="0.35">
      <c r="H33" s="424" t="s">
        <v>308</v>
      </c>
      <c r="I33" s="424"/>
      <c r="J33" s="68" t="e">
        <f>+#REF!</f>
        <v>#REF!</v>
      </c>
      <c r="K33" s="67"/>
      <c r="L33" s="67"/>
      <c r="M33" s="67"/>
      <c r="N33" s="67"/>
      <c r="O33" s="67"/>
      <c r="P33" s="67"/>
    </row>
    <row r="34" spans="8:16" ht="35.15" hidden="1" customHeight="1" x14ac:dyDescent="0.35">
      <c r="H34" s="424" t="s">
        <v>309</v>
      </c>
      <c r="I34" s="424"/>
      <c r="J34" s="69" t="e">
        <f>+J32/J33</f>
        <v>#REF!</v>
      </c>
      <c r="K34" s="67"/>
      <c r="L34" s="67"/>
      <c r="M34" s="67"/>
      <c r="N34" s="67"/>
      <c r="O34" s="67"/>
      <c r="P34" s="67"/>
    </row>
    <row r="35" spans="8:16" ht="15" customHeight="1" x14ac:dyDescent="0.35">
      <c r="K35" s="216" t="s">
        <v>1739</v>
      </c>
      <c r="L35" s="67"/>
      <c r="M35" s="67"/>
      <c r="N35" s="67"/>
      <c r="O35" s="67"/>
      <c r="P35" s="67"/>
    </row>
    <row r="36" spans="8:16" ht="15" customHeight="1" x14ac:dyDescent="0.35">
      <c r="K36" s="67"/>
      <c r="L36" s="67"/>
      <c r="M36" s="67"/>
      <c r="N36" s="67"/>
      <c r="O36" s="67"/>
      <c r="P36" s="67"/>
    </row>
    <row r="37" spans="8:16" ht="15" customHeight="1" x14ac:dyDescent="0.35">
      <c r="K37" s="67"/>
      <c r="L37" s="67"/>
      <c r="M37" s="67"/>
      <c r="N37" s="67"/>
      <c r="O37" s="67"/>
      <c r="P37" s="67"/>
    </row>
  </sheetData>
  <sheetProtection algorithmName="SHA-512" hashValue="ONeJ5Mx/B+RxV6jjqYXZUNIhLkSeKFSe1ZSAFv18xxCP/15yzVSZgrBgTXuZlpNHa/0th2F8zPHbEURx5sBbgQ==" saltValue="hPJ1hulxjStZHoNB0Z7izw==" spinCount="100000" sheet="1" formatCells="0" formatColumns="0" formatRows="0" insertColumns="0" insertRows="0" insertHyperlinks="0" deleteColumns="0" deleteRows="0" sort="0" autoFilter="0" pivotTables="0"/>
  <protectedRanges>
    <protectedRange sqref="AF14:AI23 T14:AE14 T16:AE16 T18:AE18 T20:AE20 T22:AE22" name="Rango1"/>
  </protectedRanges>
  <autoFilter ref="A12:AI13" xr:uid="{7A558667-0991-4596-ADC8-B3103AD6FA95}"/>
  <mergeCells count="173">
    <mergeCell ref="A1:C3"/>
    <mergeCell ref="D1:AI3"/>
    <mergeCell ref="A4:A5"/>
    <mergeCell ref="G4:G5"/>
    <mergeCell ref="A6:B10"/>
    <mergeCell ref="C6:D10"/>
    <mergeCell ref="E6:F10"/>
    <mergeCell ref="G6:G10"/>
    <mergeCell ref="H6:I10"/>
    <mergeCell ref="J6:J10"/>
    <mergeCell ref="AB6:AE10"/>
    <mergeCell ref="AF6:AF10"/>
    <mergeCell ref="AG6:AG10"/>
    <mergeCell ref="AH6:AH10"/>
    <mergeCell ref="AI6:AI10"/>
    <mergeCell ref="A11:F11"/>
    <mergeCell ref="G11:P11"/>
    <mergeCell ref="Q11:AE11"/>
    <mergeCell ref="AF11:AI11"/>
    <mergeCell ref="K6:L10"/>
    <mergeCell ref="M6:M10"/>
    <mergeCell ref="N6:P10"/>
    <mergeCell ref="Q6:S10"/>
    <mergeCell ref="T6:W10"/>
    <mergeCell ref="X6:AA10"/>
    <mergeCell ref="G12:G13"/>
    <mergeCell ref="H12:H13"/>
    <mergeCell ref="I12:I13"/>
    <mergeCell ref="J12:J13"/>
    <mergeCell ref="K12:K13"/>
    <mergeCell ref="L12:L13"/>
    <mergeCell ref="A12:A13"/>
    <mergeCell ref="B12:B13"/>
    <mergeCell ref="C12:C13"/>
    <mergeCell ref="D12:D13"/>
    <mergeCell ref="E12:E13"/>
    <mergeCell ref="F12:F13"/>
    <mergeCell ref="S12:S13"/>
    <mergeCell ref="T12:T13"/>
    <mergeCell ref="U12:U13"/>
    <mergeCell ref="V12:V13"/>
    <mergeCell ref="W12:W13"/>
    <mergeCell ref="X12:X13"/>
    <mergeCell ref="M12:M13"/>
    <mergeCell ref="N12:N13"/>
    <mergeCell ref="O12:O13"/>
    <mergeCell ref="P12:P13"/>
    <mergeCell ref="Q12:Q13"/>
    <mergeCell ref="R12:R13"/>
    <mergeCell ref="AE12:AE13"/>
    <mergeCell ref="AF12:AF13"/>
    <mergeCell ref="AG12:AG13"/>
    <mergeCell ref="AH12:AH13"/>
    <mergeCell ref="AI12:AI13"/>
    <mergeCell ref="Y12:Y13"/>
    <mergeCell ref="Z12:Z13"/>
    <mergeCell ref="AA12:AA13"/>
    <mergeCell ref="AB12:AB13"/>
    <mergeCell ref="AC12:AC13"/>
    <mergeCell ref="AD12:AD13"/>
    <mergeCell ref="A16:A17"/>
    <mergeCell ref="B16:B17"/>
    <mergeCell ref="C16:C17"/>
    <mergeCell ref="D16:D17"/>
    <mergeCell ref="E16:E17"/>
    <mergeCell ref="F16:F17"/>
    <mergeCell ref="G16:G17"/>
    <mergeCell ref="H16:H17"/>
    <mergeCell ref="M14:M15"/>
    <mergeCell ref="G14:G15"/>
    <mergeCell ref="H14:H15"/>
    <mergeCell ref="I14:I15"/>
    <mergeCell ref="J14:J15"/>
    <mergeCell ref="K14:K15"/>
    <mergeCell ref="L14:L15"/>
    <mergeCell ref="A14:A15"/>
    <mergeCell ref="B14:B15"/>
    <mergeCell ref="C14:C15"/>
    <mergeCell ref="D14:D15"/>
    <mergeCell ref="E14:E15"/>
    <mergeCell ref="F14:F15"/>
    <mergeCell ref="AI16:AI17"/>
    <mergeCell ref="I16:I17"/>
    <mergeCell ref="J16:J17"/>
    <mergeCell ref="K16:K17"/>
    <mergeCell ref="L16:L17"/>
    <mergeCell ref="M16:M17"/>
    <mergeCell ref="N16:N17"/>
    <mergeCell ref="AH14:AH15"/>
    <mergeCell ref="AI14:AI15"/>
    <mergeCell ref="N14:N15"/>
    <mergeCell ref="O14:O15"/>
    <mergeCell ref="P14:P15"/>
    <mergeCell ref="AF14:AF15"/>
    <mergeCell ref="AG14:AG15"/>
    <mergeCell ref="C18:C19"/>
    <mergeCell ref="D18:D19"/>
    <mergeCell ref="E18:E19"/>
    <mergeCell ref="G18:G19"/>
    <mergeCell ref="O16:O17"/>
    <mergeCell ref="P16:P17"/>
    <mergeCell ref="AF16:AF17"/>
    <mergeCell ref="AG16:AG17"/>
    <mergeCell ref="AH16:AH17"/>
    <mergeCell ref="AI18:AI19"/>
    <mergeCell ref="A20:A21"/>
    <mergeCell ref="B20:B21"/>
    <mergeCell ref="C20:C21"/>
    <mergeCell ref="D20:D21"/>
    <mergeCell ref="E20:E21"/>
    <mergeCell ref="F20:F21"/>
    <mergeCell ref="G20:G21"/>
    <mergeCell ref="H20:H21"/>
    <mergeCell ref="I20:I21"/>
    <mergeCell ref="N18:N19"/>
    <mergeCell ref="O18:O19"/>
    <mergeCell ref="P18:P19"/>
    <mergeCell ref="AF18:AF19"/>
    <mergeCell ref="AG18:AG19"/>
    <mergeCell ref="AH18:AH19"/>
    <mergeCell ref="H18:H19"/>
    <mergeCell ref="I18:I19"/>
    <mergeCell ref="J18:J19"/>
    <mergeCell ref="K18:K19"/>
    <mergeCell ref="L18:L19"/>
    <mergeCell ref="M18:M19"/>
    <mergeCell ref="A18:A19"/>
    <mergeCell ref="B18:B19"/>
    <mergeCell ref="P20:P21"/>
    <mergeCell ref="AF20:AF21"/>
    <mergeCell ref="AG20:AG21"/>
    <mergeCell ref="AH20:AH21"/>
    <mergeCell ref="AI20:AI21"/>
    <mergeCell ref="A22:A23"/>
    <mergeCell ref="B22:B23"/>
    <mergeCell ref="C22:C23"/>
    <mergeCell ref="D22:D23"/>
    <mergeCell ref="E22:E23"/>
    <mergeCell ref="J20:J21"/>
    <mergeCell ref="K20:K21"/>
    <mergeCell ref="L20:L21"/>
    <mergeCell ref="M20:M21"/>
    <mergeCell ref="N20:N21"/>
    <mergeCell ref="O20:O21"/>
    <mergeCell ref="AH22:AH23"/>
    <mergeCell ref="AI22:AI23"/>
    <mergeCell ref="O22:O23"/>
    <mergeCell ref="P22:P23"/>
    <mergeCell ref="AF22:AF23"/>
    <mergeCell ref="A24:A25"/>
    <mergeCell ref="B24:B25"/>
    <mergeCell ref="C24:C25"/>
    <mergeCell ref="D24:D25"/>
    <mergeCell ref="E24:E25"/>
    <mergeCell ref="I25:J25"/>
    <mergeCell ref="L22:L23"/>
    <mergeCell ref="M22:M23"/>
    <mergeCell ref="N22:N23"/>
    <mergeCell ref="F22:F23"/>
    <mergeCell ref="G22:G23"/>
    <mergeCell ref="H22:H23"/>
    <mergeCell ref="I22:I23"/>
    <mergeCell ref="J22:J23"/>
    <mergeCell ref="K22:K23"/>
    <mergeCell ref="H33:I33"/>
    <mergeCell ref="H34:I34"/>
    <mergeCell ref="I26:J26"/>
    <mergeCell ref="I27:J27"/>
    <mergeCell ref="I28:J28"/>
    <mergeCell ref="I29:J29"/>
    <mergeCell ref="I30:J30"/>
    <mergeCell ref="H32:I32"/>
    <mergeCell ref="AG22:AG23"/>
  </mergeCells>
  <conditionalFormatting sqref="I4">
    <cfRule type="cellIs" dxfId="50" priority="16" operator="lessThanOrEqual">
      <formula>$C$4</formula>
    </cfRule>
  </conditionalFormatting>
  <conditionalFormatting sqref="J6 S14:S23">
    <cfRule type="cellIs" dxfId="49" priority="17" operator="greaterThanOrEqual">
      <formula>$C$5</formula>
    </cfRule>
    <cfRule type="cellIs" dxfId="48" priority="18" operator="lessThanOrEqual">
      <formula>$C$4</formula>
    </cfRule>
    <cfRule type="cellIs" dxfId="47" priority="19" operator="between">
      <formula>$C$5</formula>
      <formula>$C$4</formula>
    </cfRule>
  </conditionalFormatting>
  <conditionalFormatting sqref="Q6">
    <cfRule type="cellIs" dxfId="46" priority="13" operator="greaterThanOrEqual">
      <formula>$I$5</formula>
    </cfRule>
    <cfRule type="cellIs" dxfId="45" priority="14" operator="lessThanOrEqual">
      <formula>$I$4</formula>
    </cfRule>
    <cfRule type="cellIs" dxfId="44" priority="15" operator="between">
      <formula>$I$5</formula>
      <formula>$I$4</formula>
    </cfRule>
  </conditionalFormatting>
  <conditionalFormatting sqref="U25:U28 Y25:Y28 Q25:Q30 AC25:AC30 K26:P26 R26:T26 V26:X26 Z26:AB26 AD26:AE26 J34">
    <cfRule type="cellIs" dxfId="43" priority="20" operator="greaterThanOrEqual">
      <formula>$D$9</formula>
    </cfRule>
    <cfRule type="cellIs" dxfId="42" priority="21" operator="lessThanOrEqual">
      <formula>$C$6</formula>
    </cfRule>
    <cfRule type="cellIs" dxfId="41" priority="22" operator="between">
      <formula>$C$6</formula>
      <formula>$D$9</formula>
    </cfRule>
  </conditionalFormatting>
  <conditionalFormatting sqref="X6">
    <cfRule type="cellIs" dxfId="40" priority="10" operator="greaterThanOrEqual">
      <formula>$I$5</formula>
    </cfRule>
    <cfRule type="cellIs" dxfId="39" priority="11" operator="lessThanOrEqual">
      <formula>$I$4</formula>
    </cfRule>
    <cfRule type="cellIs" dxfId="38" priority="12" operator="between">
      <formula>$I$5</formula>
      <formula>$I$4</formula>
    </cfRule>
  </conditionalFormatting>
  <conditionalFormatting sqref="AF6">
    <cfRule type="cellIs" dxfId="37" priority="1" operator="greaterThanOrEqual">
      <formula>$I$5</formula>
    </cfRule>
    <cfRule type="cellIs" dxfId="36" priority="2" operator="lessThanOrEqual">
      <formula>$I$4</formula>
    </cfRule>
    <cfRule type="cellIs" dxfId="35" priority="3" operator="between">
      <formula>$I$5</formula>
      <formula>$I$4</formula>
    </cfRule>
  </conditionalFormatting>
  <conditionalFormatting sqref="AH6">
    <cfRule type="cellIs" dxfId="34" priority="4" operator="greaterThanOrEqual">
      <formula>$I$5</formula>
    </cfRule>
    <cfRule type="cellIs" dxfId="33" priority="5" operator="lessThanOrEqual">
      <formula>$I$4</formula>
    </cfRule>
    <cfRule type="cellIs" dxfId="32" priority="6" operator="between">
      <formula>$I$5</formula>
      <formula>$I$4</formula>
    </cfRule>
  </conditionalFormatting>
  <dataValidations count="9">
    <dataValidation type="list" allowBlank="1" showInputMessage="1" showErrorMessage="1" sqref="B14:B23" xr:uid="{4889943D-42AE-44EE-B2D1-E079DB65BD56}">
      <formula1>$B$40:$B$47</formula1>
    </dataValidation>
    <dataValidation type="list" allowBlank="1" showInputMessage="1" showErrorMessage="1" sqref="C14:C23" xr:uid="{7C845C7D-A436-4422-80A7-21020B2B3B16}">
      <formula1>$C$40:$C$49</formula1>
    </dataValidation>
    <dataValidation type="list" allowBlank="1" showInputMessage="1" showErrorMessage="1" sqref="D14:D23" xr:uid="{4E76308C-0E4D-4C59-9590-A98639CDCD79}">
      <formula1>$D$40:$D$46</formula1>
    </dataValidation>
    <dataValidation type="list" allowBlank="1" showInputMessage="1" showErrorMessage="1" sqref="E14:E23" xr:uid="{45CD0A11-8013-458D-9819-AADF31096E51}">
      <formula1>$E$40:$E$58</formula1>
    </dataValidation>
    <dataValidation type="list" allowBlank="1" showInputMessage="1" showErrorMessage="1" sqref="N14:N23" xr:uid="{1C5A8565-B1DA-4931-A0FE-5D490DD3FD8E}">
      <formula1>$L$40:$L$42</formula1>
    </dataValidation>
    <dataValidation allowBlank="1" showErrorMessage="1" sqref="S14:S23" xr:uid="{8A1E47EC-3793-4591-829D-7002CA1FB3B5}"/>
    <dataValidation type="decimal" allowBlank="1" showInputMessage="1" showErrorMessage="1" prompt="valor porcentual de la activida - Indique el peso porcentual de la actividad dentro del proyecto" sqref="R14 R18 R20 R16 R22" xr:uid="{E52FAAFB-49EA-4D8A-90CF-D7685B3241B8}">
      <formula1>0</formula1>
      <formula2>1</formula2>
    </dataValidation>
    <dataValidation type="decimal" allowBlank="1" showInputMessage="1" showErrorMessage="1" prompt="campo calculado  - indica el % de avance  que aporta la activadad a todo el proyecto" sqref="R19 R15 R21 R17 R23" xr:uid="{AA53B126-B74F-4304-AC6C-3FB7AC6C71AB}">
      <formula1>0</formula1>
      <formula2>1</formula2>
    </dataValidation>
    <dataValidation type="decimal" allowBlank="1" showInputMessage="1" showErrorMessage="1" prompt="% de avance en la actividad - indique el % programado de avance durante esta semana_x000a_" sqref="T21:V23 V20:V23 T14:V19 W14:AE23" xr:uid="{74F481A2-C0B1-4098-B589-844B45BF787C}">
      <formula1>0</formula1>
      <formula2>1</formula2>
    </dataValidation>
  </dataValidations>
  <pageMargins left="0.7" right="0.7" top="0.75" bottom="0.75" header="0.3" footer="0.3"/>
  <pageSetup scale="12" orientation="portrait" r:id="rId1"/>
  <headerFooter>
    <oddFooter>&amp;C_x000D_&amp;1#&amp;"Calibri"&amp;10&amp;K008000 DOCUMENTO PÚBLICO</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0C6BD-2DE7-4625-B700-148ADD9CC543}">
  <dimension ref="A1:AH41"/>
  <sheetViews>
    <sheetView showGridLines="0" view="pageBreakPreview" topLeftCell="A12" zoomScale="60" zoomScaleNormal="10" zoomScalePageLayoutView="48" workbookViewId="0">
      <selection activeCell="Z16" sqref="Z16"/>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7" width="28.54296875" style="13" customWidth="1"/>
    <col min="8" max="8" width="54.81640625" style="13" customWidth="1"/>
    <col min="9" max="10" width="28.54296875" style="13" customWidth="1"/>
    <col min="11" max="12" width="19.54296875" style="13" customWidth="1"/>
    <col min="13" max="13" width="28.54296875" style="13" customWidth="1"/>
    <col min="14" max="14" width="18.453125" style="13" customWidth="1"/>
    <col min="15" max="17" width="13.54296875" style="13" customWidth="1"/>
    <col min="18" max="29" width="9.54296875" style="13" customWidth="1"/>
    <col min="30" max="30" width="9.54296875" style="13" hidden="1" customWidth="1"/>
    <col min="31" max="31" width="35.54296875" style="13" customWidth="1"/>
    <col min="32" max="34" width="42.54296875" style="13" customWidth="1"/>
    <col min="35" max="16384" width="12.54296875" style="13"/>
  </cols>
  <sheetData>
    <row r="1" spans="1:34" s="5" customFormat="1" ht="15" customHeight="1" x14ac:dyDescent="0.35">
      <c r="A1" s="337"/>
      <c r="B1" s="338"/>
      <c r="C1" s="339"/>
      <c r="D1" s="346" t="s">
        <v>1740</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row>
    <row r="2" spans="1:34"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row>
    <row r="3" spans="1:34"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row>
    <row r="4" spans="1:34"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row>
    <row r="5" spans="1:34"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row>
    <row r="6" spans="1:34" ht="20.149999999999999" customHeight="1" x14ac:dyDescent="0.35">
      <c r="A6" s="295" t="s">
        <v>13</v>
      </c>
      <c r="B6" s="297"/>
      <c r="C6" s="423" t="s">
        <v>87</v>
      </c>
      <c r="D6" s="423"/>
      <c r="E6" s="295" t="s">
        <v>15</v>
      </c>
      <c r="F6" s="295"/>
      <c r="G6" s="455">
        <f>+P15+P17+P19</f>
        <v>1</v>
      </c>
      <c r="H6" s="295" t="s">
        <v>209</v>
      </c>
      <c r="I6" s="297"/>
      <c r="J6" s="489">
        <f>+P14+P16+P18</f>
        <v>0.25</v>
      </c>
      <c r="K6" s="295" t="s">
        <v>17</v>
      </c>
      <c r="L6" s="297"/>
      <c r="M6" s="443">
        <v>1</v>
      </c>
      <c r="N6" s="295" t="s">
        <v>1741</v>
      </c>
      <c r="O6" s="297"/>
      <c r="P6" s="304">
        <f>(SUM(R14:AD14,Q16:AC16,R18:AC18)/SUM(R15:AC15,R17:AC17,R19:AC19))/M6</f>
        <v>0.33333333333333331</v>
      </c>
      <c r="Q6" s="305"/>
      <c r="R6" s="295"/>
      <c r="S6" s="296"/>
      <c r="T6" s="296"/>
      <c r="U6" s="296"/>
      <c r="V6" s="296"/>
      <c r="W6" s="296"/>
      <c r="X6" s="296"/>
      <c r="Y6" s="296"/>
      <c r="Z6" s="296"/>
      <c r="AA6" s="296"/>
      <c r="AB6" s="296"/>
      <c r="AC6" s="296"/>
      <c r="AD6" s="296"/>
      <c r="AE6" s="296"/>
      <c r="AF6" s="296"/>
      <c r="AG6" s="296"/>
      <c r="AH6" s="296"/>
    </row>
    <row r="7" spans="1:34" ht="15" customHeight="1" x14ac:dyDescent="0.35">
      <c r="A7" s="298"/>
      <c r="B7" s="300"/>
      <c r="C7" s="423"/>
      <c r="D7" s="423"/>
      <c r="E7" s="298"/>
      <c r="F7" s="298"/>
      <c r="G7" s="456"/>
      <c r="H7" s="298"/>
      <c r="I7" s="300"/>
      <c r="J7" s="490"/>
      <c r="K7" s="298"/>
      <c r="L7" s="300"/>
      <c r="M7" s="444"/>
      <c r="N7" s="298"/>
      <c r="O7" s="300"/>
      <c r="P7" s="306"/>
      <c r="Q7" s="307"/>
      <c r="R7" s="298"/>
      <c r="S7" s="299"/>
      <c r="T7" s="299"/>
      <c r="U7" s="299"/>
      <c r="V7" s="299"/>
      <c r="W7" s="299"/>
      <c r="X7" s="299"/>
      <c r="Y7" s="299"/>
      <c r="Z7" s="299"/>
      <c r="AA7" s="299"/>
      <c r="AB7" s="299"/>
      <c r="AC7" s="299"/>
      <c r="AD7" s="299"/>
      <c r="AE7" s="299"/>
      <c r="AF7" s="299"/>
      <c r="AG7" s="299"/>
      <c r="AH7" s="299"/>
    </row>
    <row r="8" spans="1:34" ht="25.4" customHeight="1" x14ac:dyDescent="0.35">
      <c r="A8" s="298"/>
      <c r="B8" s="300"/>
      <c r="C8" s="423"/>
      <c r="D8" s="423"/>
      <c r="E8" s="298"/>
      <c r="F8" s="298"/>
      <c r="G8" s="456"/>
      <c r="H8" s="298"/>
      <c r="I8" s="300"/>
      <c r="J8" s="490"/>
      <c r="K8" s="298"/>
      <c r="L8" s="300"/>
      <c r="M8" s="444"/>
      <c r="N8" s="298"/>
      <c r="O8" s="300"/>
      <c r="P8" s="306"/>
      <c r="Q8" s="307"/>
      <c r="R8" s="298"/>
      <c r="S8" s="299"/>
      <c r="T8" s="299"/>
      <c r="U8" s="299"/>
      <c r="V8" s="299"/>
      <c r="W8" s="299"/>
      <c r="X8" s="299"/>
      <c r="Y8" s="299"/>
      <c r="Z8" s="299"/>
      <c r="AA8" s="299"/>
      <c r="AB8" s="299"/>
      <c r="AC8" s="299"/>
      <c r="AD8" s="299"/>
      <c r="AE8" s="299"/>
      <c r="AF8" s="299"/>
      <c r="AG8" s="299"/>
      <c r="AH8" s="299"/>
    </row>
    <row r="9" spans="1:34" ht="25.4" customHeight="1" x14ac:dyDescent="0.35">
      <c r="A9" s="298"/>
      <c r="B9" s="300"/>
      <c r="C9" s="423"/>
      <c r="D9" s="423"/>
      <c r="E9" s="298"/>
      <c r="F9" s="298"/>
      <c r="G9" s="456"/>
      <c r="H9" s="298"/>
      <c r="I9" s="300"/>
      <c r="J9" s="490"/>
      <c r="K9" s="298"/>
      <c r="L9" s="300"/>
      <c r="M9" s="444"/>
      <c r="N9" s="298"/>
      <c r="O9" s="300"/>
      <c r="P9" s="306"/>
      <c r="Q9" s="307"/>
      <c r="R9" s="298"/>
      <c r="S9" s="299"/>
      <c r="T9" s="299"/>
      <c r="U9" s="299"/>
      <c r="V9" s="299"/>
      <c r="W9" s="299"/>
      <c r="X9" s="299"/>
      <c r="Y9" s="299"/>
      <c r="Z9" s="299"/>
      <c r="AA9" s="299"/>
      <c r="AB9" s="299"/>
      <c r="AC9" s="299"/>
      <c r="AD9" s="299"/>
      <c r="AE9" s="299"/>
      <c r="AF9" s="299"/>
      <c r="AG9" s="299"/>
      <c r="AH9" s="299"/>
    </row>
    <row r="10" spans="1:34" ht="15" customHeight="1" thickBot="1" x14ac:dyDescent="0.4">
      <c r="A10" s="467"/>
      <c r="B10" s="468"/>
      <c r="C10" s="423"/>
      <c r="D10" s="423"/>
      <c r="E10" s="467"/>
      <c r="F10" s="467"/>
      <c r="G10" s="457"/>
      <c r="H10" s="301"/>
      <c r="I10" s="303"/>
      <c r="J10" s="491"/>
      <c r="K10" s="301"/>
      <c r="L10" s="303"/>
      <c r="M10" s="445"/>
      <c r="N10" s="301"/>
      <c r="O10" s="303"/>
      <c r="P10" s="308"/>
      <c r="Q10" s="309"/>
      <c r="R10" s="301"/>
      <c r="S10" s="302"/>
      <c r="T10" s="302"/>
      <c r="U10" s="302"/>
      <c r="V10" s="302"/>
      <c r="W10" s="302"/>
      <c r="X10" s="302"/>
      <c r="Y10" s="302"/>
      <c r="Z10" s="302"/>
      <c r="AA10" s="302"/>
      <c r="AB10" s="302"/>
      <c r="AC10" s="302"/>
      <c r="AD10" s="302"/>
      <c r="AE10" s="302"/>
      <c r="AF10" s="302"/>
      <c r="AG10" s="302"/>
      <c r="AH10" s="302"/>
    </row>
    <row r="11" spans="1:34" s="14" customFormat="1" ht="40.4" customHeight="1" thickBot="1" x14ac:dyDescent="0.4">
      <c r="A11" s="313" t="s">
        <v>21</v>
      </c>
      <c r="B11" s="313"/>
      <c r="C11" s="313"/>
      <c r="D11" s="313"/>
      <c r="E11" s="313"/>
      <c r="F11" s="314"/>
      <c r="G11" s="437" t="s">
        <v>22</v>
      </c>
      <c r="H11" s="438"/>
      <c r="I11" s="438"/>
      <c r="J11" s="438"/>
      <c r="K11" s="438"/>
      <c r="L11" s="438"/>
      <c r="M11" s="438"/>
      <c r="N11" s="438"/>
      <c r="O11" s="486" t="s">
        <v>23</v>
      </c>
      <c r="P11" s="487"/>
      <c r="Q11" s="487"/>
      <c r="R11" s="487"/>
      <c r="S11" s="487"/>
      <c r="T11" s="487"/>
      <c r="U11" s="487"/>
      <c r="V11" s="487"/>
      <c r="W11" s="487"/>
      <c r="X11" s="487"/>
      <c r="Y11" s="487"/>
      <c r="Z11" s="487"/>
      <c r="AA11" s="487"/>
      <c r="AB11" s="487"/>
      <c r="AC11" s="487"/>
      <c r="AD11" s="488"/>
      <c r="AE11" s="320" t="s">
        <v>24</v>
      </c>
      <c r="AF11" s="321"/>
      <c r="AG11" s="321"/>
      <c r="AH11" s="321"/>
    </row>
    <row r="12" spans="1:34" ht="39" customHeight="1" x14ac:dyDescent="0.35">
      <c r="A12" s="286" t="s">
        <v>25</v>
      </c>
      <c r="B12" s="294" t="s">
        <v>26</v>
      </c>
      <c r="C12" s="294" t="s">
        <v>27</v>
      </c>
      <c r="D12" s="294" t="s">
        <v>28</v>
      </c>
      <c r="E12" s="294" t="s">
        <v>29</v>
      </c>
      <c r="F12" s="294" t="s">
        <v>30</v>
      </c>
      <c r="G12" s="294" t="s">
        <v>31</v>
      </c>
      <c r="H12" s="286" t="s">
        <v>282</v>
      </c>
      <c r="I12" s="286" t="s">
        <v>33</v>
      </c>
      <c r="J12" s="286" t="s">
        <v>34</v>
      </c>
      <c r="K12" s="286" t="s">
        <v>35</v>
      </c>
      <c r="L12" s="286" t="s">
        <v>36</v>
      </c>
      <c r="M12" s="286" t="s">
        <v>37</v>
      </c>
      <c r="N12" s="294" t="s">
        <v>38</v>
      </c>
      <c r="O12" s="310" t="s">
        <v>39</v>
      </c>
      <c r="P12" s="311" t="s">
        <v>40</v>
      </c>
      <c r="Q12" s="312" t="s">
        <v>41</v>
      </c>
      <c r="R12" s="291" t="s">
        <v>42</v>
      </c>
      <c r="S12" s="291" t="s">
        <v>43</v>
      </c>
      <c r="T12" s="291" t="s">
        <v>44</v>
      </c>
      <c r="U12" s="291" t="s">
        <v>45</v>
      </c>
      <c r="V12" s="291" t="s">
        <v>46</v>
      </c>
      <c r="W12" s="291" t="s">
        <v>47</v>
      </c>
      <c r="X12" s="291" t="s">
        <v>47</v>
      </c>
      <c r="Y12" s="291" t="s">
        <v>49</v>
      </c>
      <c r="Z12" s="291" t="s">
        <v>50</v>
      </c>
      <c r="AA12" s="291" t="s">
        <v>51</v>
      </c>
      <c r="AB12" s="291" t="s">
        <v>52</v>
      </c>
      <c r="AC12" s="291" t="s">
        <v>53</v>
      </c>
      <c r="AD12" s="291">
        <v>45658</v>
      </c>
      <c r="AE12" s="435" t="s">
        <v>216</v>
      </c>
      <c r="AF12" s="394" t="s">
        <v>217</v>
      </c>
      <c r="AG12" s="394" t="s">
        <v>218</v>
      </c>
      <c r="AH12" s="396" t="s">
        <v>219</v>
      </c>
    </row>
    <row r="13" spans="1:34"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291"/>
      <c r="AE13" s="436"/>
      <c r="AF13" s="395"/>
      <c r="AG13" s="395"/>
      <c r="AH13" s="397"/>
    </row>
    <row r="14" spans="1:34" ht="97.5" customHeight="1" thickBot="1" x14ac:dyDescent="0.4">
      <c r="A14" s="284">
        <v>1</v>
      </c>
      <c r="B14" s="261" t="s">
        <v>94</v>
      </c>
      <c r="C14" s="505" t="s">
        <v>98</v>
      </c>
      <c r="D14" s="262" t="s">
        <v>60</v>
      </c>
      <c r="E14" s="262" t="s">
        <v>86</v>
      </c>
      <c r="F14" s="280" t="s">
        <v>1389</v>
      </c>
      <c r="G14" s="262" t="s">
        <v>351</v>
      </c>
      <c r="H14" s="262" t="s">
        <v>1742</v>
      </c>
      <c r="I14" s="262" t="s">
        <v>1743</v>
      </c>
      <c r="J14" s="275" t="s">
        <v>66</v>
      </c>
      <c r="K14" s="275" t="s">
        <v>66</v>
      </c>
      <c r="L14" s="275" t="s">
        <v>1744</v>
      </c>
      <c r="M14" s="278">
        <v>45323</v>
      </c>
      <c r="N14" s="278">
        <v>45595</v>
      </c>
      <c r="O14" s="15" t="s">
        <v>68</v>
      </c>
      <c r="P14" s="16">
        <f>+(P15*Q14)</f>
        <v>8.3333333333333329E-2</v>
      </c>
      <c r="Q14" s="17">
        <f>SUM(R14:AD14)</f>
        <v>0.25</v>
      </c>
      <c r="R14" s="18"/>
      <c r="S14" s="18"/>
      <c r="T14" s="18">
        <v>0.25</v>
      </c>
      <c r="U14" s="18"/>
      <c r="V14" s="18"/>
      <c r="W14" s="18"/>
      <c r="X14" s="18"/>
      <c r="Y14" s="18"/>
      <c r="Z14" s="19"/>
      <c r="AA14" s="19"/>
      <c r="AB14" s="19"/>
      <c r="AC14" s="19"/>
      <c r="AD14" s="18"/>
      <c r="AE14" s="384" t="s">
        <v>1745</v>
      </c>
      <c r="AF14" s="363"/>
      <c r="AG14" s="475"/>
      <c r="AH14" s="475"/>
    </row>
    <row r="15" spans="1:34" ht="97.5" customHeight="1" thickBot="1" x14ac:dyDescent="0.4">
      <c r="A15" s="285"/>
      <c r="B15" s="261"/>
      <c r="C15" s="505"/>
      <c r="D15" s="263" t="s">
        <v>60</v>
      </c>
      <c r="E15" s="263"/>
      <c r="F15" s="290"/>
      <c r="G15" s="263"/>
      <c r="H15" s="263"/>
      <c r="I15" s="263"/>
      <c r="J15" s="277"/>
      <c r="K15" s="277"/>
      <c r="L15" s="277"/>
      <c r="M15" s="605"/>
      <c r="N15" s="605"/>
      <c r="O15" s="15" t="s">
        <v>69</v>
      </c>
      <c r="P15" s="21">
        <f>100%/3</f>
        <v>0.33333333333333331</v>
      </c>
      <c r="Q15" s="17">
        <f>SUM(R15:AC15)</f>
        <v>1</v>
      </c>
      <c r="R15" s="22"/>
      <c r="S15" s="22"/>
      <c r="T15" s="22"/>
      <c r="U15" s="22"/>
      <c r="V15" s="22"/>
      <c r="W15" s="22"/>
      <c r="X15" s="22"/>
      <c r="Y15" s="22"/>
      <c r="Z15" s="22"/>
      <c r="AA15" s="22"/>
      <c r="AB15" s="22"/>
      <c r="AC15" s="22">
        <v>1</v>
      </c>
      <c r="AE15" s="613"/>
      <c r="AF15" s="364"/>
      <c r="AG15" s="476"/>
      <c r="AH15" s="476"/>
    </row>
    <row r="16" spans="1:34" ht="97.5" customHeight="1" thickBot="1" x14ac:dyDescent="0.4">
      <c r="A16" s="262">
        <v>2</v>
      </c>
      <c r="B16" s="261" t="s">
        <v>94</v>
      </c>
      <c r="C16" s="505" t="s">
        <v>98</v>
      </c>
      <c r="D16" s="262" t="s">
        <v>60</v>
      </c>
      <c r="E16" s="262" t="s">
        <v>86</v>
      </c>
      <c r="F16" s="280" t="s">
        <v>1389</v>
      </c>
      <c r="G16" s="262" t="s">
        <v>351</v>
      </c>
      <c r="H16" s="262" t="s">
        <v>1746</v>
      </c>
      <c r="I16" s="262" t="s">
        <v>1747</v>
      </c>
      <c r="J16" s="275" t="s">
        <v>66</v>
      </c>
      <c r="K16" s="275" t="s">
        <v>66</v>
      </c>
      <c r="L16" s="275" t="s">
        <v>1744</v>
      </c>
      <c r="M16" s="278">
        <v>45292</v>
      </c>
      <c r="N16" s="278">
        <v>45641</v>
      </c>
      <c r="O16" s="15" t="s">
        <v>68</v>
      </c>
      <c r="P16" s="16">
        <f>+(P17*Q16)</f>
        <v>8.3333333333333329E-2</v>
      </c>
      <c r="Q16" s="17">
        <f>SUM(R16:AC16)</f>
        <v>0.25</v>
      </c>
      <c r="R16" s="18"/>
      <c r="S16" s="18"/>
      <c r="T16" s="18">
        <v>0.25</v>
      </c>
      <c r="U16" s="18"/>
      <c r="V16" s="18"/>
      <c r="W16" s="18"/>
      <c r="X16" s="18"/>
      <c r="Y16" s="18"/>
      <c r="Z16" s="19"/>
      <c r="AA16" s="19"/>
      <c r="AB16" s="19"/>
      <c r="AC16" s="18"/>
      <c r="AE16" s="384" t="s">
        <v>1748</v>
      </c>
      <c r="AF16" s="428"/>
      <c r="AG16" s="475"/>
      <c r="AH16" s="475"/>
    </row>
    <row r="17" spans="1:34" ht="97.5" customHeight="1" thickBot="1" x14ac:dyDescent="0.4">
      <c r="A17" s="263"/>
      <c r="B17" s="261"/>
      <c r="C17" s="505"/>
      <c r="D17" s="263" t="s">
        <v>60</v>
      </c>
      <c r="E17" s="263"/>
      <c r="F17" s="281"/>
      <c r="G17" s="263"/>
      <c r="H17" s="263"/>
      <c r="I17" s="263"/>
      <c r="J17" s="277"/>
      <c r="K17" s="277"/>
      <c r="L17" s="277"/>
      <c r="M17" s="605"/>
      <c r="N17" s="605"/>
      <c r="O17" s="15" t="s">
        <v>69</v>
      </c>
      <c r="P17" s="21">
        <f>100%/3</f>
        <v>0.33333333333333331</v>
      </c>
      <c r="Q17" s="17">
        <f>SUM(R17:AC17)</f>
        <v>1</v>
      </c>
      <c r="R17" s="22"/>
      <c r="S17" s="22"/>
      <c r="T17" s="22"/>
      <c r="U17" s="22"/>
      <c r="V17" s="22"/>
      <c r="W17" s="22"/>
      <c r="X17" s="22"/>
      <c r="Y17" s="22"/>
      <c r="Z17" s="22"/>
      <c r="AA17" s="22"/>
      <c r="AB17" s="22"/>
      <c r="AC17" s="22">
        <v>1</v>
      </c>
      <c r="AE17" s="613"/>
      <c r="AF17" s="429"/>
      <c r="AG17" s="476"/>
      <c r="AH17" s="476"/>
    </row>
    <row r="18" spans="1:34" ht="97.5" customHeight="1" thickBot="1" x14ac:dyDescent="0.4">
      <c r="A18" s="262">
        <v>3</v>
      </c>
      <c r="B18" s="261" t="s">
        <v>94</v>
      </c>
      <c r="C18" s="505" t="s">
        <v>98</v>
      </c>
      <c r="D18" s="262" t="s">
        <v>60</v>
      </c>
      <c r="E18" s="262" t="s">
        <v>86</v>
      </c>
      <c r="F18" s="280" t="s">
        <v>1389</v>
      </c>
      <c r="G18" s="262" t="s">
        <v>1749</v>
      </c>
      <c r="H18" s="262" t="s">
        <v>1750</v>
      </c>
      <c r="I18" s="262" t="s">
        <v>1747</v>
      </c>
      <c r="J18" s="275" t="s">
        <v>66</v>
      </c>
      <c r="K18" s="275" t="s">
        <v>66</v>
      </c>
      <c r="L18" s="275" t="s">
        <v>1744</v>
      </c>
      <c r="M18" s="278">
        <v>45474</v>
      </c>
      <c r="N18" s="278">
        <v>45641</v>
      </c>
      <c r="O18" s="15" t="s">
        <v>68</v>
      </c>
      <c r="P18" s="16">
        <f>+(P19*Q18)</f>
        <v>8.3333333333333329E-2</v>
      </c>
      <c r="Q18" s="17">
        <f>SUM(R18:AC18)</f>
        <v>0.25</v>
      </c>
      <c r="R18" s="18"/>
      <c r="S18" s="18"/>
      <c r="T18" s="18">
        <v>0.25</v>
      </c>
      <c r="U18" s="18"/>
      <c r="V18" s="18"/>
      <c r="W18" s="18"/>
      <c r="X18" s="18"/>
      <c r="Y18" s="18"/>
      <c r="Z18" s="19"/>
      <c r="AA18" s="19"/>
      <c r="AB18" s="19"/>
      <c r="AC18" s="19"/>
      <c r="AE18" s="384" t="s">
        <v>1751</v>
      </c>
      <c r="AF18" s="428"/>
      <c r="AG18" s="475"/>
      <c r="AH18" s="475"/>
    </row>
    <row r="19" spans="1:34" ht="97.5" customHeight="1" x14ac:dyDescent="0.35">
      <c r="A19" s="263"/>
      <c r="B19" s="261"/>
      <c r="C19" s="505"/>
      <c r="D19" s="263" t="s">
        <v>60</v>
      </c>
      <c r="E19" s="263"/>
      <c r="F19" s="281"/>
      <c r="G19" s="263"/>
      <c r="H19" s="263"/>
      <c r="I19" s="263"/>
      <c r="J19" s="277"/>
      <c r="K19" s="277"/>
      <c r="L19" s="277"/>
      <c r="M19" s="605"/>
      <c r="N19" s="605"/>
      <c r="O19" s="15" t="s">
        <v>69</v>
      </c>
      <c r="P19" s="21">
        <f>100%/3</f>
        <v>0.33333333333333331</v>
      </c>
      <c r="Q19" s="17">
        <f>SUM(R19:AC19)</f>
        <v>1</v>
      </c>
      <c r="R19" s="22"/>
      <c r="S19" s="22"/>
      <c r="T19" s="22"/>
      <c r="U19" s="22"/>
      <c r="V19" s="22"/>
      <c r="W19" s="22"/>
      <c r="X19" s="22"/>
      <c r="Y19" s="22"/>
      <c r="Z19" s="22"/>
      <c r="AA19" s="22"/>
      <c r="AB19" s="22"/>
      <c r="AC19" s="22">
        <v>1</v>
      </c>
      <c r="AE19" s="613"/>
      <c r="AF19" s="429"/>
      <c r="AG19" s="476"/>
      <c r="AH19" s="476"/>
    </row>
    <row r="21" spans="1:34" ht="30" hidden="1" customHeight="1" x14ac:dyDescent="0.35">
      <c r="D21" s="264" t="s">
        <v>17</v>
      </c>
      <c r="E21" s="264"/>
      <c r="F21" s="30">
        <v>1</v>
      </c>
      <c r="H21" s="432" t="s">
        <v>305</v>
      </c>
      <c r="I21" s="31" t="s">
        <v>107</v>
      </c>
      <c r="J21" s="32" t="e">
        <f>SUM(O21:AC21)</f>
        <v>#REF!</v>
      </c>
      <c r="K21" s="33"/>
      <c r="L21" s="33"/>
      <c r="M21" s="33"/>
      <c r="N21" s="33"/>
      <c r="O21" s="33" t="e">
        <f>+(AC14*$P$15)+(#REF!*$P$17)+(#REF!*$P$19)+(#REF!*#REF!)+(#REF!*#REF!)+(#REF!*#REF!)+(#REF!*#REF!)+(#REF!*#REF!)+(#REF!*#REF!)+(#REF!*#REF!)+(#REF!*#REF!)+(#REF!*#REF!)+(#REF!*#REF!)</f>
        <v>#REF!</v>
      </c>
      <c r="P21" s="34" t="e">
        <f>+(#REF!*$P$15)+(#REF!*$P$17)+(#REF!*$P$19)+(#REF!*#REF!)+(#REF!*#REF!)+(#REF!*#REF!)+(#REF!*#REF!)+(#REF!*#REF!)+(#REF!*#REF!)+(#REF!*#REF!)+(#REF!*#REF!)+(#REF!*#REF!)+(#REF!*#REF!)</f>
        <v>#REF!</v>
      </c>
      <c r="Q21" s="33" t="e">
        <f>+(#REF!*$P$15)+(#REF!*$P$17)+(#REF!*$P$19)+(#REF!*#REF!)+(#REF!*#REF!)+(#REF!*#REF!)+(#REF!*#REF!)+(#REF!*#REF!)+(#REF!*#REF!)+(#REF!*#REF!)+(#REF!*#REF!)+(#REF!*#REF!)+(#REF!*#REF!)</f>
        <v>#REF!</v>
      </c>
      <c r="R21" s="33" t="e">
        <f>+(#REF!*$P$15)+(#REF!*$P$17)+(#REF!*$P$19)+(#REF!*#REF!)+(#REF!*#REF!)+(#REF!*#REF!)+(#REF!*#REF!)+(#REF!*#REF!)+(#REF!*#REF!)+(#REF!*#REF!)+(#REF!*#REF!)+(#REF!*#REF!)+(#REF!*#REF!)</f>
        <v>#REF!</v>
      </c>
      <c r="S21" s="33" t="e">
        <f>+(#REF!*$P$15)+(#REF!*$P$17)+(#REF!*$P$19)+(#REF!*#REF!)+(#REF!*#REF!)+(#REF!*#REF!)+(#REF!*#REF!)+(#REF!*#REF!)+(#REF!*#REF!)+(#REF!*#REF!)+(#REF!*#REF!)+(#REF!*#REF!)+(#REF!*#REF!)</f>
        <v>#REF!</v>
      </c>
      <c r="T21" s="33" t="e">
        <f>+(#REF!*$P$15)+(#REF!*$P$17)+(#REF!*$P$19)+(#REF!*#REF!)+(#REF!*#REF!)+(#REF!*#REF!)+(#REF!*#REF!)+(#REF!*#REF!)+(#REF!*#REF!)+(#REF!*#REF!)+(#REF!*#REF!)+(#REF!*#REF!)+(#REF!*#REF!)</f>
        <v>#REF!</v>
      </c>
      <c r="U21" s="33" t="e">
        <f>+(#REF!*$P$15)+(#REF!*$P$17)+(#REF!*$P$19)+(#REF!*#REF!)+(#REF!*#REF!)+(#REF!*#REF!)+(#REF!*#REF!)+(#REF!*#REF!)+(#REF!*#REF!)+(#REF!*#REF!)+(#REF!*#REF!)+(#REF!*#REF!)+(#REF!*#REF!)</f>
        <v>#REF!</v>
      </c>
      <c r="V21" s="33" t="e">
        <f>+(#REF!*$P$15)+(#REF!*$P$17)+(#REF!*$P$19)+(#REF!*#REF!)+(#REF!*#REF!)+(#REF!*#REF!)+(#REF!*#REF!)+(#REF!*#REF!)+(#REF!*#REF!)+(#REF!*#REF!)+(#REF!*#REF!)+(#REF!*#REF!)+(#REF!*#REF!)</f>
        <v>#REF!</v>
      </c>
      <c r="W21" s="33" t="e">
        <f>+(#REF!*$P$15)+(#REF!*$P$17)+(#REF!*$P$19)+(#REF!*#REF!)+(#REF!*#REF!)+(#REF!*#REF!)+(#REF!*#REF!)+(#REF!*#REF!)+(#REF!*#REF!)+(#REF!*#REF!)+(#REF!*#REF!)+(#REF!*#REF!)+(#REF!*#REF!)</f>
        <v>#REF!</v>
      </c>
      <c r="X21" s="33" t="e">
        <f>+(#REF!*$P$15)+(#REF!*$P$17)+(#REF!*$P$19)+(#REF!*#REF!)+(#REF!*#REF!)+(#REF!*#REF!)+(#REF!*#REF!)+(#REF!*#REF!)+(#REF!*#REF!)+(#REF!*#REF!)+(#REF!*#REF!)+(#REF!*#REF!)+(#REF!*#REF!)</f>
        <v>#REF!</v>
      </c>
      <c r="Y21" s="33" t="e">
        <f>+(#REF!*$P$15)+(#REF!*$P$17)+(#REF!*$P$19)+(#REF!*#REF!)+(#REF!*#REF!)+(#REF!*#REF!)+(#REF!*#REF!)+(#REF!*#REF!)+(#REF!*#REF!)+(#REF!*#REF!)+(#REF!*#REF!)+(#REF!*#REF!)+(#REF!*#REF!)</f>
        <v>#REF!</v>
      </c>
      <c r="Z21" s="33" t="e">
        <f>+(#REF!*$P$15)+(#REF!*$P$17)+(#REF!*$P$19)+(#REF!*#REF!)+(#REF!*#REF!)+(#REF!*#REF!)+(#REF!*#REF!)+(#REF!*#REF!)+(#REF!*#REF!)+(#REF!*#REF!)+(#REF!*#REF!)+(#REF!*#REF!)+(#REF!*#REF!)</f>
        <v>#REF!</v>
      </c>
      <c r="AA21" s="33" t="e">
        <f>+(#REF!*$P$15)+(#REF!*$P$17)+(#REF!*$P$19)+(#REF!*#REF!)+(#REF!*#REF!)+(#REF!*#REF!)+(#REF!*#REF!)+(#REF!*#REF!)+(#REF!*#REF!)+(#REF!*#REF!)+(#REF!*#REF!)+(#REF!*#REF!)+(#REF!*#REF!)</f>
        <v>#REF!</v>
      </c>
      <c r="AB21" s="34" t="e">
        <f>+(#REF!*$P$15)+(#REF!*$P$17)+(#REF!*$P$19)+(#REF!*#REF!)+(#REF!*#REF!)+(#REF!*#REF!)+(#REF!*#REF!)+(#REF!*#REF!)+(#REF!*#REF!)+(#REF!*#REF!)+(#REF!*#REF!)+(#REF!*#REF!)+(#REF!*#REF!)</f>
        <v>#REF!</v>
      </c>
      <c r="AC21" s="33" t="e">
        <f>+(#REF!*$P$15)+(#REF!*$P$17)+(#REF!*$P$19)+(#REF!*#REF!)+(#REF!*#REF!)+(#REF!*#REF!)+(#REF!*#REF!)+(#REF!*#REF!)+(#REF!*#REF!)+(#REF!*#REF!)+(#REF!*#REF!)+(#REF!*#REF!)+(#REF!*#REF!)</f>
        <v>#REF!</v>
      </c>
      <c r="AD21" s="35"/>
    </row>
    <row r="22" spans="1:34" ht="30" hidden="1" customHeight="1" x14ac:dyDescent="0.35">
      <c r="D22" s="264"/>
      <c r="E22" s="264"/>
      <c r="F22" s="30"/>
      <c r="H22" s="426"/>
      <c r="I22" s="36" t="s">
        <v>108</v>
      </c>
      <c r="J22" s="37"/>
      <c r="K22" s="38"/>
      <c r="L22" s="38"/>
      <c r="M22" s="38"/>
      <c r="N22" s="38"/>
      <c r="O22" s="38" t="e">
        <f>SUM(O21:O21)</f>
        <v>#REF!</v>
      </c>
      <c r="P22" s="39"/>
      <c r="Q22" s="38"/>
      <c r="R22" s="38"/>
      <c r="S22" s="40" t="e">
        <f>SUM(P21:S21)</f>
        <v>#REF!</v>
      </c>
      <c r="T22" s="40"/>
      <c r="U22" s="40"/>
      <c r="V22" s="40"/>
      <c r="W22" s="40" t="e">
        <f>SUM(T21:W21)</f>
        <v>#REF!</v>
      </c>
      <c r="X22" s="40"/>
      <c r="Y22" s="40"/>
      <c r="Z22" s="40"/>
      <c r="AA22" s="40" t="e">
        <f>SUM(X21:AA21)</f>
        <v>#REF!</v>
      </c>
      <c r="AB22" s="41"/>
      <c r="AC22" s="40"/>
      <c r="AD22" s="42"/>
    </row>
    <row r="23" spans="1:34" ht="30" hidden="1" customHeight="1" x14ac:dyDescent="0.35">
      <c r="H23" s="426"/>
      <c r="I23" s="36" t="s">
        <v>109</v>
      </c>
      <c r="J23" s="43"/>
      <c r="K23" s="38"/>
      <c r="L23" s="38"/>
      <c r="M23" s="38"/>
      <c r="N23" s="38"/>
      <c r="O23" s="38" t="e">
        <f>+#REF!+O22</f>
        <v>#REF!</v>
      </c>
      <c r="P23" s="39"/>
      <c r="Q23" s="38"/>
      <c r="R23" s="38"/>
      <c r="S23" s="44"/>
      <c r="T23" s="40"/>
      <c r="U23" s="40"/>
      <c r="V23" s="40"/>
      <c r="W23" s="40"/>
      <c r="X23" s="40"/>
      <c r="Y23" s="40"/>
      <c r="Z23" s="40"/>
      <c r="AA23" s="40" t="e">
        <f>+S22+W22+AA22</f>
        <v>#REF!</v>
      </c>
      <c r="AB23" s="41"/>
      <c r="AC23" s="40"/>
      <c r="AD23" s="42"/>
    </row>
    <row r="24" spans="1:34" ht="30" hidden="1" customHeight="1" x14ac:dyDescent="0.35">
      <c r="H24" s="427"/>
      <c r="I24" s="45" t="s">
        <v>110</v>
      </c>
      <c r="J24" s="46"/>
      <c r="K24" s="47"/>
      <c r="L24" s="47"/>
      <c r="M24" s="47"/>
      <c r="N24" s="47"/>
      <c r="O24" s="47"/>
      <c r="P24" s="48"/>
      <c r="Q24" s="47"/>
      <c r="R24" s="47"/>
      <c r="S24" s="49"/>
      <c r="T24" s="50"/>
      <c r="U24" s="50"/>
      <c r="V24" s="50"/>
      <c r="W24" s="50"/>
      <c r="X24" s="50"/>
      <c r="Y24" s="50"/>
      <c r="Z24" s="50"/>
      <c r="AA24" s="50" t="e">
        <f>+O23+AA23</f>
        <v>#REF!</v>
      </c>
      <c r="AB24" s="51"/>
      <c r="AC24" s="50"/>
      <c r="AD24" s="42"/>
    </row>
    <row r="25" spans="1:34" ht="30" hidden="1" customHeight="1" x14ac:dyDescent="0.35">
      <c r="H25" s="425" t="s">
        <v>306</v>
      </c>
      <c r="I25" s="36" t="s">
        <v>111</v>
      </c>
      <c r="J25" s="52" t="e">
        <f>SUM(O25:AC25)</f>
        <v>#REF!</v>
      </c>
      <c r="K25" s="38"/>
      <c r="L25" s="38"/>
      <c r="M25" s="38"/>
      <c r="N25" s="38"/>
      <c r="O25" s="38" t="e">
        <f>+(#REF!*$P$15)+(#REF!*$P$17)+(#REF!*$P$19)+(#REF!*#REF!)+(#REF!*#REF!)+(#REF!*#REF!)+(#REF!*#REF!)+(#REF!*#REF!)+(#REF!*#REF!)+(#REF!*#REF!)+(#REF!*#REF!)+(#REF!*#REF!)+(#REF!*#REF!)</f>
        <v>#REF!</v>
      </c>
      <c r="P25" s="39" t="e">
        <f>+(#REF!*$P$15)+(#REF!*$P$17)+(#REF!*$P$19)+(#REF!*#REF!)+(#REF!*#REF!)+(#REF!*#REF!)+(#REF!*#REF!)+(#REF!*#REF!)+(#REF!*#REF!)+(#REF!*#REF!)+(#REF!*#REF!)+(#REF!*#REF!)+(#REF!*#REF!)</f>
        <v>#REF!</v>
      </c>
      <c r="Q25" s="38" t="e">
        <f>+(#REF!*$P$15)+(#REF!*$P$17)+(#REF!*$P$19)+(#REF!*#REF!)+(#REF!*#REF!)+(#REF!*#REF!)+(#REF!*#REF!)+(#REF!*#REF!)+(#REF!*#REF!)+(#REF!*#REF!)+(#REF!*#REF!)+(#REF!*#REF!)+(#REF!*#REF!)</f>
        <v>#REF!</v>
      </c>
      <c r="R25" s="38" t="e">
        <f>+(#REF!*$P$15)+(#REF!*$P$17)+(#REF!*$P$19)+(#REF!*#REF!)+(#REF!*#REF!)+(#REF!*#REF!)+(#REF!*#REF!)+(#REF!*#REF!)+(#REF!*#REF!)+(#REF!*#REF!)+(#REF!*#REF!)+(#REF!*#REF!)+(#REF!*#REF!)</f>
        <v>#REF!</v>
      </c>
      <c r="S25" s="38" t="e">
        <f>+(#REF!*$P$15)+(#REF!*$P$17)+(#REF!*$P$19)+(#REF!*#REF!)+(#REF!*#REF!)+(#REF!*#REF!)+(#REF!*#REF!)+(#REF!*#REF!)+(#REF!*#REF!)+(#REF!*#REF!)+(#REF!*#REF!)+(#REF!*#REF!)+(#REF!*#REF!)</f>
        <v>#REF!</v>
      </c>
      <c r="T25" s="38" t="e">
        <f>+(#REF!*$P$15)+(#REF!*$P$17)+(#REF!*$P$19)+(#REF!*#REF!)+(#REF!*#REF!)+(#REF!*#REF!)+(#REF!*#REF!)+(#REF!*#REF!)+(#REF!*#REF!)+(#REF!*#REF!)+(#REF!*#REF!)+(#REF!*#REF!)+(#REF!*#REF!)</f>
        <v>#REF!</v>
      </c>
      <c r="U25" s="38" t="e">
        <f>+(#REF!*$P$15)+(#REF!*$P$17)+(#REF!*$P$19)+(#REF!*#REF!)+(#REF!*#REF!)+(#REF!*#REF!)+(#REF!*#REF!)+(#REF!*#REF!)+(#REF!*#REF!)+(#REF!*#REF!)+(#REF!*#REF!)+(#REF!*#REF!)+(#REF!*#REF!)</f>
        <v>#REF!</v>
      </c>
      <c r="V25" s="38" t="e">
        <f>+(#REF!*$P$15)+(#REF!*$P$17)+(#REF!*$P$19)+(#REF!*#REF!)+(#REF!*#REF!)+(#REF!*#REF!)+(#REF!*#REF!)+(#REF!*#REF!)+(#REF!*#REF!)+(#REF!*#REF!)+(#REF!*#REF!)+(#REF!*#REF!)+(#REF!*#REF!)</f>
        <v>#REF!</v>
      </c>
      <c r="W25" s="38" t="e">
        <f>+(#REF!*$P$15)+(#REF!*$P$17)+(#REF!*$P$19)+(#REF!*#REF!)+(#REF!*#REF!)+(#REF!*#REF!)+(#REF!*#REF!)+(#REF!*#REF!)+(#REF!*#REF!)+(#REF!*#REF!)+(#REF!*#REF!)+(#REF!*#REF!)+(#REF!*#REF!)</f>
        <v>#REF!</v>
      </c>
      <c r="X25" s="38" t="e">
        <f>+(#REF!*$P$15)+(#REF!*$P$17)+(#REF!*$P$19)+(#REF!*#REF!)+(#REF!*#REF!)+(#REF!*#REF!)+(#REF!*#REF!)+(#REF!*#REF!)+(#REF!*#REF!)+(#REF!*#REF!)+(#REF!*#REF!)+(#REF!*#REF!)+(#REF!*#REF!)</f>
        <v>#REF!</v>
      </c>
      <c r="Y25" s="38" t="e">
        <f>+(#REF!*$P$15)+(#REF!*$P$17)+(#REF!*$P$19)+(#REF!*#REF!)+(#REF!*#REF!)+(#REF!*#REF!)+(#REF!*#REF!)+(#REF!*#REF!)+(#REF!*#REF!)+(#REF!*#REF!)+(#REF!*#REF!)+(#REF!*#REF!)+(#REF!*#REF!)</f>
        <v>#REF!</v>
      </c>
      <c r="Z25" s="38" t="e">
        <f>+(#REF!*$P$15)+(#REF!*$P$17)+(#REF!*$P$19)+(#REF!*#REF!)+(#REF!*#REF!)+(#REF!*#REF!)+(#REF!*#REF!)+(#REF!*#REF!)+(#REF!*#REF!)+(#REF!*#REF!)+(#REF!*#REF!)+(#REF!*#REF!)+(#REF!*#REF!)</f>
        <v>#REF!</v>
      </c>
      <c r="AA25" s="38" t="e">
        <f>+(#REF!*$P$15)+(#REF!*$P$17)+(#REF!*$P$19)+(#REF!*#REF!)+(#REF!*#REF!)+(#REF!*#REF!)+(#REF!*#REF!)+(#REF!*#REF!)+(#REF!*#REF!)+(#REF!*#REF!)+(#REF!*#REF!)+(#REF!*#REF!)+(#REF!*#REF!)</f>
        <v>#REF!</v>
      </c>
      <c r="AB25" s="39" t="e">
        <f>+(#REF!*$P$15)+(#REF!*$P$17)+(#REF!*$P$19)+(#REF!*#REF!)+(#REF!*#REF!)+(#REF!*#REF!)+(#REF!*#REF!)+(#REF!*#REF!)+(#REF!*#REF!)+(#REF!*#REF!)+(#REF!*#REF!)+(#REF!*#REF!)+(#REF!*#REF!)</f>
        <v>#REF!</v>
      </c>
      <c r="AC25" s="38" t="e">
        <f>+(#REF!*$P$15)+(#REF!*$P$17)+(#REF!*$P$19)+(#REF!*#REF!)+(#REF!*#REF!)+(#REF!*#REF!)+(#REF!*#REF!)+(#REF!*#REF!)+(#REF!*#REF!)+(#REF!*#REF!)+(#REF!*#REF!)+(#REF!*#REF!)+(#REF!*#REF!)</f>
        <v>#REF!</v>
      </c>
      <c r="AD25" s="35"/>
    </row>
    <row r="26" spans="1:34" ht="30" hidden="1" customHeight="1" x14ac:dyDescent="0.35">
      <c r="H26" s="426"/>
      <c r="I26" s="36" t="s">
        <v>112</v>
      </c>
      <c r="J26" s="53"/>
      <c r="K26" s="38"/>
      <c r="L26" s="38"/>
      <c r="M26" s="38"/>
      <c r="N26" s="38"/>
      <c r="O26" s="38" t="e">
        <f>SUM(O25:O25)</f>
        <v>#REF!</v>
      </c>
      <c r="P26" s="39"/>
      <c r="Q26" s="38"/>
      <c r="R26" s="38"/>
      <c r="S26" s="38" t="e">
        <f>SUM(P25:S25)</f>
        <v>#REF!</v>
      </c>
      <c r="T26" s="38"/>
      <c r="U26" s="38"/>
      <c r="V26" s="38"/>
      <c r="W26" s="38" t="e">
        <f>SUM(T25:W25)</f>
        <v>#REF!</v>
      </c>
      <c r="X26" s="38"/>
      <c r="Y26" s="38"/>
      <c r="Z26" s="38"/>
      <c r="AA26" s="38" t="e">
        <f>SUM(X25:AA25)</f>
        <v>#REF!</v>
      </c>
      <c r="AB26" s="39"/>
      <c r="AC26" s="38"/>
      <c r="AD26" s="35"/>
    </row>
    <row r="27" spans="1:34" ht="30" hidden="1" customHeight="1" x14ac:dyDescent="0.35">
      <c r="H27" s="426"/>
      <c r="I27" s="36" t="s">
        <v>113</v>
      </c>
      <c r="J27" s="43"/>
      <c r="K27" s="38"/>
      <c r="L27" s="38"/>
      <c r="M27" s="38"/>
      <c r="N27" s="38"/>
      <c r="O27" s="38" t="e">
        <f>+#REF!+O26</f>
        <v>#REF!</v>
      </c>
      <c r="P27" s="39"/>
      <c r="Q27" s="38"/>
      <c r="R27" s="38"/>
      <c r="S27" s="44"/>
      <c r="T27" s="40"/>
      <c r="U27" s="40"/>
      <c r="V27" s="40"/>
      <c r="W27" s="40"/>
      <c r="X27" s="40"/>
      <c r="Y27" s="40"/>
      <c r="Z27" s="40"/>
      <c r="AA27" s="40" t="e">
        <f>+S26+W26+AA26</f>
        <v>#REF!</v>
      </c>
      <c r="AB27" s="41"/>
      <c r="AC27" s="40"/>
      <c r="AD27" s="42"/>
    </row>
    <row r="28" spans="1:34" ht="30" hidden="1" customHeight="1" x14ac:dyDescent="0.35">
      <c r="H28" s="427"/>
      <c r="I28" s="54" t="s">
        <v>114</v>
      </c>
      <c r="J28" s="46"/>
      <c r="K28" s="47"/>
      <c r="L28" s="47"/>
      <c r="M28" s="47"/>
      <c r="N28" s="47"/>
      <c r="O28" s="47"/>
      <c r="P28" s="48"/>
      <c r="Q28" s="47"/>
      <c r="R28" s="47"/>
      <c r="S28" s="49"/>
      <c r="T28" s="50"/>
      <c r="U28" s="50"/>
      <c r="V28" s="50"/>
      <c r="W28" s="50"/>
      <c r="X28" s="50"/>
      <c r="Y28" s="50"/>
      <c r="Z28" s="50"/>
      <c r="AA28" s="50" t="e">
        <f>+O27+AA27</f>
        <v>#REF!</v>
      </c>
      <c r="AB28" s="51"/>
      <c r="AC28" s="55"/>
      <c r="AD28" s="42"/>
    </row>
    <row r="29" spans="1:34" ht="30" hidden="1" customHeight="1" x14ac:dyDescent="0.35">
      <c r="H29" s="79"/>
      <c r="I29" s="265" t="s">
        <v>115</v>
      </c>
      <c r="J29" s="265"/>
      <c r="K29" s="56"/>
      <c r="L29" s="56"/>
      <c r="M29" s="56"/>
      <c r="N29" s="56"/>
      <c r="O29" s="57" t="e">
        <f>+(#REF!+#REF!+#REF!+#REF!+#REF!+#REF!+#REF!+O21)/(#REF!+#REF!+#REF!+#REF!+#REF!+#REF!+#REF!+O25)</f>
        <v>#REF!</v>
      </c>
      <c r="P29" s="58" t="e">
        <f>+(#REF!+#REF!+#REF!+#REF!+#REF!+#REF!+#REF!+O21+P21)/(#REF!+#REF!+#REF!+#REF!+#REF!+#REF!+#REF!+O25+P25)</f>
        <v>#REF!</v>
      </c>
      <c r="Q29" s="56" t="e">
        <f>+(#REF!+#REF!+#REF!+#REF!+#REF!+#REF!+#REF!+O21+P21+Q21)/(#REF!+#REF!+#REF!+#REF!+#REF!+#REF!+#REF!+O25+P25+Q25)</f>
        <v>#REF!</v>
      </c>
      <c r="R29" s="56" t="e">
        <f>+(#REF!+#REF!+#REF!+#REF!+#REF!+#REF!+#REF!+O21+P21+Q21+R21)/(#REF!+#REF!+#REF!+#REF!+#REF!+#REF!+#REF!+O25+P25+Q25+R25)</f>
        <v>#REF!</v>
      </c>
      <c r="S29" s="57" t="e">
        <f>+(#REF!+#REF!+#REF!+#REF!+#REF!+#REF!+#REF!+O21+P21+Q21+R21+S21)/(#REF!+#REF!+#REF!+#REF!+#REF!+#REF!+#REF!+O25+P25+Q25+R25+S25)</f>
        <v>#REF!</v>
      </c>
      <c r="T29" s="56" t="e">
        <f>+(#REF!+#REF!+#REF!+#REF!+#REF!+#REF!+#REF!+O21+P21+Q21+R21+S21+T21)/(#REF!+#REF!+#REF!+#REF!+#REF!+#REF!+#REF!+O25+P25+Q25+R25+S25+T25)</f>
        <v>#REF!</v>
      </c>
      <c r="U29" s="56" t="e">
        <f>+(#REF!+#REF!+#REF!+#REF!+#REF!+#REF!+#REF!+O21+P21+Q21+R21+S21+T21+U21)/(#REF!+#REF!+#REF!+#REF!+#REF!+#REF!+#REF!+O25+P25+Q25+R25+S25+T25+U25)</f>
        <v>#REF!</v>
      </c>
      <c r="V29" s="56" t="e">
        <f>+(#REF!+#REF!+#REF!+#REF!+#REF!+#REF!+#REF!+O21+P21+Q21+R21+S21+T21+U21+V21)/(#REF!+#REF!+#REF!+#REF!+#REF!+#REF!+#REF!+O25+P25+Q25+R25+S25+T25+U25+V25)</f>
        <v>#REF!</v>
      </c>
      <c r="W29" s="57" t="e">
        <f>+(#REF!+#REF!+#REF!+#REF!+#REF!+#REF!+#REF!+O21+P21+Q21+R21+S21+T21+U21+V21+W21)/(#REF!+#REF!+#REF!+#REF!+#REF!+#REF!+#REF!+O25+P25+Q25+R25+S25+T25+U25+V25+W25)</f>
        <v>#REF!</v>
      </c>
      <c r="X29" s="56" t="e">
        <f>+(#REF!+#REF!+#REF!+#REF!+#REF!+#REF!+#REF!+O21+P21+Q21+R21+S21+T21+U21+V21+W21+X21)/(#REF!+#REF!+#REF!+#REF!+#REF!+#REF!+#REF!+O25+P25+Q25+R25+S25+T25+U25+V25+W25+X25)</f>
        <v>#REF!</v>
      </c>
      <c r="Y29" s="56" t="e">
        <f>+(#REF!+#REF!+#REF!+#REF!+#REF!+#REF!+#REF!+O21+P21+Q21+R21+S21+T21+U21+V21+W21+X21+Y21)/(#REF!+#REF!+#REF!+#REF!+#REF!+#REF!+#REF!+O25+P25+Q25+R25+S25+T25+U25+V25+W25+X25+Y25)</f>
        <v>#REF!</v>
      </c>
      <c r="Z29" s="56" t="e">
        <f>+(#REF!+#REF!+#REF!+#REF!+#REF!+#REF!+#REF!+O21+P21+Q21+R21+S21+T21+U21+V21+W21+X21+Y21+Z21)/(#REF!+#REF!+#REF!+#REF!+#REF!+#REF!+#REF!+O25+P25+Q25+R25+S25+T25+U25+V25+W25+X25+Y25+Z25)</f>
        <v>#REF!</v>
      </c>
      <c r="AA29" s="57" t="e">
        <f>+(#REF!+#REF!+#REF!+#REF!+#REF!+#REF!+#REF!+O21+P21+Q21+R21+S21+T21+U21+V21+W21+X21+Y21+Z21+AA21)/(#REF!+#REF!+#REF!+#REF!+#REF!+#REF!+#REF!+O25+P25+Q25+R25+S25+T25+U25+V25+W25+X25+Y25+Z25+AA25)</f>
        <v>#REF!</v>
      </c>
      <c r="AB29" s="58" t="e">
        <f>+(#REF!+#REF!+#REF!+#REF!+#REF!+#REF!+#REF!+O21+P21+Q21+R21+S21+T21+U21+V21+W21+X21+Y21+Z21+AA21+AB21)/(#REF!+#REF!+#REF!+#REF!+#REF!+#REF!+#REF!+O25+P25+Q25+R25+S25+T25+U25+V25+W25+X25+Y25+Z25+AA25+AB25)</f>
        <v>#REF!</v>
      </c>
      <c r="AC29" s="56" t="e">
        <f>+(#REF!+#REF!+#REF!+#REF!+#REF!+#REF!+#REF!+O21+P21+Q21+R21+S21+T21+U21+V21+W21+X21+Y21+Z21+AA21+AB21+AC21)/(#REF!+#REF!+#REF!+#REF!+#REF!+#REF!+#REF!+O25+P25+Q25+R25+S25+T25+U25+V25+W25+X25+Y25+Z25+AA25+AB25+AC25)</f>
        <v>#REF!</v>
      </c>
      <c r="AD29" s="59"/>
    </row>
    <row r="30" spans="1:34" ht="30" hidden="1" customHeight="1" x14ac:dyDescent="0.35">
      <c r="H30" s="79"/>
      <c r="I30" s="266" t="s">
        <v>116</v>
      </c>
      <c r="J30" s="266"/>
      <c r="K30" s="57"/>
      <c r="L30" s="57"/>
      <c r="M30" s="57"/>
      <c r="N30" s="57"/>
      <c r="O30" s="57" t="e">
        <f>+(#REF!+#REF!+#REF!+#REF!+#REF!+#REF!+#REF!+O21)/$F$21</f>
        <v>#REF!</v>
      </c>
      <c r="P30" s="60" t="e">
        <f>+(#REF!+#REF!+#REF!+#REF!+#REF!+#REF!+#REF!+O21+P21)/$F$21</f>
        <v>#REF!</v>
      </c>
      <c r="Q30" s="57" t="e">
        <f>+(#REF!+#REF!+#REF!+#REF!+#REF!+#REF!+#REF!+O21+P21+Q21)/$F$21</f>
        <v>#REF!</v>
      </c>
      <c r="R30" s="57" t="e">
        <f>+(#REF!+#REF!+#REF!+#REF!+#REF!+#REF!+#REF!+O21+P21+Q21+R21)/$F$21</f>
        <v>#REF!</v>
      </c>
      <c r="S30" s="57" t="e">
        <f>+(#REF!+#REF!+#REF!+#REF!+#REF!+#REF!+#REF!+O21+P21+Q21+R21+S21)/$F$21</f>
        <v>#REF!</v>
      </c>
      <c r="T30" s="57" t="e">
        <f>+(#REF!+#REF!+#REF!+#REF!+#REF!+#REF!+#REF!+O21+P21+Q21+R21+S21+T21)/$F$21</f>
        <v>#REF!</v>
      </c>
      <c r="U30" s="57" t="e">
        <f>+(#REF!+#REF!+#REF!+#REF!+#REF!+#REF!+#REF!+O21+P21+Q21+R21+S21+T21+U21)/$F$21</f>
        <v>#REF!</v>
      </c>
      <c r="V30" s="57" t="e">
        <f>+(#REF!+#REF!+#REF!+#REF!+#REF!+#REF!+#REF!+O21+P21+Q21+R21+S21+T21+U21+V21)/$F$21</f>
        <v>#REF!</v>
      </c>
      <c r="W30" s="57" t="e">
        <f>+(#REF!+#REF!+#REF!+#REF!+#REF!+#REF!+#REF!+O21+P21+Q21+R21+S21+T21+U21+V21+W21)/$F$21</f>
        <v>#REF!</v>
      </c>
      <c r="X30" s="57" t="e">
        <f>+(#REF!+#REF!+#REF!+#REF!+#REF!+#REF!+#REF!+O21+P21+Q21+R21+S21+T21+U21+V21+W21+X21)/$F$21</f>
        <v>#REF!</v>
      </c>
      <c r="Y30" s="57" t="e">
        <f>+(#REF!+#REF!+#REF!+#REF!+#REF!+#REF!+#REF!+O21+P21+Q21+R21+S21+T21+U21+V21+W21+X21+Y21)/$F$21</f>
        <v>#REF!</v>
      </c>
      <c r="Z30" s="57" t="e">
        <f>+(#REF!+#REF!+#REF!+#REF!+#REF!+#REF!+#REF!+O21+P21+Q21+R21+S21+T21+U21+V21+W21+X21+Y21+Z21)/$F$21</f>
        <v>#REF!</v>
      </c>
      <c r="AA30" s="57" t="e">
        <f>+(#REF!+#REF!+#REF!+#REF!+#REF!+#REF!+#REF!+O21+P21+Q21+R21+S21+T21+U21+V21+W21+X21+Y21+Z21+AA21)/$F$21</f>
        <v>#REF!</v>
      </c>
      <c r="AB30" s="60" t="e">
        <f>+(#REF!+#REF!+#REF!+#REF!+#REF!+#REF!+#REF!+O21+P21+Q21+R21+S21+T21+U21+V21+W21+X21+Y21+Z21+AA21+AB21)/$F$21</f>
        <v>#REF!</v>
      </c>
      <c r="AC30" s="57" t="e">
        <f>+(#REF!+#REF!+#REF!+#REF!+#REF!+#REF!+#REF!+O21+P21+Q21+R21+S21+T21+U21+V21+W21+X21+Y21+Z21+AA21+AB21+AC21)/$F$21</f>
        <v>#REF!</v>
      </c>
      <c r="AD30" s="61"/>
    </row>
    <row r="31" spans="1:34" ht="30" hidden="1" customHeight="1" x14ac:dyDescent="0.35">
      <c r="I31" s="265" t="s">
        <v>117</v>
      </c>
      <c r="J31" s="265"/>
      <c r="K31" s="62"/>
      <c r="L31" s="62"/>
      <c r="M31" s="62"/>
      <c r="N31" s="62"/>
      <c r="O31" s="57" t="e">
        <f>+O22/O26</f>
        <v>#REF!</v>
      </c>
      <c r="P31" s="63"/>
      <c r="Q31" s="62"/>
      <c r="R31" s="62"/>
      <c r="S31" s="57" t="e">
        <f>+S22/S26</f>
        <v>#REF!</v>
      </c>
      <c r="T31" s="62"/>
      <c r="U31" s="62"/>
      <c r="V31" s="62"/>
      <c r="W31" s="57" t="e">
        <f>+W22/W26</f>
        <v>#REF!</v>
      </c>
      <c r="X31" s="62"/>
      <c r="Y31" s="62"/>
      <c r="Z31" s="62"/>
      <c r="AA31" s="57" t="e">
        <f>+AA22/AA26</f>
        <v>#REF!</v>
      </c>
      <c r="AB31" s="63"/>
      <c r="AC31" s="62"/>
      <c r="AD31" s="64"/>
    </row>
    <row r="32" spans="1:34" ht="30" hidden="1" customHeight="1" x14ac:dyDescent="0.35">
      <c r="I32" s="266" t="s">
        <v>118</v>
      </c>
      <c r="J32" s="266"/>
      <c r="K32" s="62"/>
      <c r="L32" s="62"/>
      <c r="M32" s="62"/>
      <c r="N32" s="62"/>
      <c r="O32" s="57" t="e">
        <f>+(#REF!+O22)/$F$21</f>
        <v>#REF!</v>
      </c>
      <c r="P32" s="63"/>
      <c r="Q32" s="62"/>
      <c r="R32" s="62"/>
      <c r="S32" s="57" t="e">
        <f>+(#REF!+O22+S22)/$F$21</f>
        <v>#REF!</v>
      </c>
      <c r="T32" s="62"/>
      <c r="U32" s="62"/>
      <c r="V32" s="62"/>
      <c r="W32" s="57" t="e">
        <f>+(#REF!+O22+S22+W22)/$F$21</f>
        <v>#REF!</v>
      </c>
      <c r="X32" s="62"/>
      <c r="Y32" s="62"/>
      <c r="Z32" s="62"/>
      <c r="AA32" s="57" t="e">
        <f>+(#REF!+O22+S22+W22+AA22)/$F$21</f>
        <v>#REF!</v>
      </c>
      <c r="AB32" s="63"/>
      <c r="AC32" s="62"/>
      <c r="AD32" s="64"/>
    </row>
    <row r="33" spans="8:30" ht="30" hidden="1" customHeight="1" x14ac:dyDescent="0.35">
      <c r="I33" s="265" t="s">
        <v>119</v>
      </c>
      <c r="J33" s="265"/>
      <c r="K33" s="62"/>
      <c r="L33" s="62"/>
      <c r="M33" s="62"/>
      <c r="N33" s="62"/>
      <c r="O33" s="57" t="e">
        <f>+(#REF!+O22)/(#REF!+O26)</f>
        <v>#REF!</v>
      </c>
      <c r="P33" s="63"/>
      <c r="Q33" s="62"/>
      <c r="R33" s="62"/>
      <c r="S33" s="62"/>
      <c r="T33" s="62"/>
      <c r="U33" s="62"/>
      <c r="V33" s="62"/>
      <c r="W33" s="62"/>
      <c r="X33" s="62"/>
      <c r="Y33" s="62"/>
      <c r="Z33" s="62"/>
      <c r="AA33" s="57" t="e">
        <f>+(#REF!+O22+S22+W22+AA22)/(#REF!+O26+S26+W26+AA26)</f>
        <v>#REF!</v>
      </c>
      <c r="AB33" s="63"/>
      <c r="AC33" s="62"/>
      <c r="AD33" s="64"/>
    </row>
    <row r="34" spans="8:30" ht="30" hidden="1" customHeight="1" x14ac:dyDescent="0.35">
      <c r="I34" s="265" t="s">
        <v>120</v>
      </c>
      <c r="J34" s="265"/>
      <c r="K34" s="62"/>
      <c r="L34" s="62"/>
      <c r="M34" s="62"/>
      <c r="N34" s="62"/>
      <c r="O34" s="57" t="e">
        <f>+(#REF!+O22)/$F$21</f>
        <v>#REF!</v>
      </c>
      <c r="P34" s="63"/>
      <c r="Q34" s="62"/>
      <c r="R34" s="62"/>
      <c r="S34" s="62"/>
      <c r="T34" s="62"/>
      <c r="U34" s="62"/>
      <c r="V34" s="62"/>
      <c r="W34" s="62"/>
      <c r="X34" s="62"/>
      <c r="Y34" s="62"/>
      <c r="Z34" s="62"/>
      <c r="AA34" s="57" t="e">
        <f>+(+#REF!+O22+S22+W22+AA22)/$F$21</f>
        <v>#REF!</v>
      </c>
      <c r="AB34" s="63"/>
      <c r="AC34" s="62"/>
      <c r="AD34" s="64"/>
    </row>
    <row r="35" spans="8:30" ht="15" hidden="1" customHeight="1" x14ac:dyDescent="0.35"/>
    <row r="36" spans="8:30" ht="35.15" hidden="1" customHeight="1" x14ac:dyDescent="0.35">
      <c r="H36" s="424" t="s">
        <v>307</v>
      </c>
      <c r="I36" s="424"/>
      <c r="J36" s="66" t="e">
        <f>+#REF!</f>
        <v>#REF!</v>
      </c>
      <c r="K36" s="67"/>
      <c r="L36" s="67"/>
      <c r="M36" s="67"/>
      <c r="N36" s="67"/>
    </row>
    <row r="37" spans="8:30" ht="35.15" hidden="1" customHeight="1" x14ac:dyDescent="0.35">
      <c r="H37" s="424" t="s">
        <v>308</v>
      </c>
      <c r="I37" s="424"/>
      <c r="J37" s="68">
        <f>+F21</f>
        <v>1</v>
      </c>
      <c r="K37" s="67"/>
      <c r="L37" s="67"/>
      <c r="M37" s="67"/>
      <c r="N37" s="67"/>
    </row>
    <row r="38" spans="8:30" ht="35.15" hidden="1" customHeight="1" x14ac:dyDescent="0.35">
      <c r="H38" s="424" t="s">
        <v>309</v>
      </c>
      <c r="I38" s="424"/>
      <c r="J38" s="69" t="e">
        <f>+J36/J37</f>
        <v>#REF!</v>
      </c>
      <c r="K38" s="67"/>
      <c r="L38" s="67"/>
      <c r="M38" s="67"/>
      <c r="N38" s="67"/>
    </row>
    <row r="39" spans="8:30" ht="15" customHeight="1" x14ac:dyDescent="0.35">
      <c r="K39" s="67"/>
      <c r="L39" s="67"/>
      <c r="M39" s="67"/>
      <c r="N39" s="67"/>
    </row>
    <row r="40" spans="8:30" ht="15" customHeight="1" x14ac:dyDescent="0.35">
      <c r="K40" s="67"/>
      <c r="L40" s="67"/>
      <c r="M40" s="67"/>
      <c r="N40" s="67"/>
    </row>
    <row r="41" spans="8:30" ht="15" customHeight="1" x14ac:dyDescent="0.35">
      <c r="K41" s="67"/>
      <c r="L41" s="67"/>
      <c r="M41" s="67"/>
      <c r="N41" s="67"/>
    </row>
  </sheetData>
  <sheetProtection algorithmName="SHA-512" hashValue="lNwoJC87j1vyocP7Do/4jjR5HsPFRTv7h+MJiZ9KIroqC77siDqpUZ33jSZ3lFsx9cLEjTylXT/fZbaoYjfmrA==" saltValue="TQso5gusPMi8Ty80hkcMOw==" spinCount="100000" sheet="1" formatCells="0" formatColumns="0" formatRows="0" insertColumns="0" insertRows="0" insertHyperlinks="0" deleteColumns="0" deleteRows="0" sort="0" autoFilter="0" pivotTables="0"/>
  <protectedRanges>
    <protectedRange sqref="R14:AC14 AE14:AH19 R18:AC18 R16:AC16" name="Rango1"/>
  </protectedRanges>
  <mergeCells count="121">
    <mergeCell ref="P6:Q10"/>
    <mergeCell ref="R6:AH10"/>
    <mergeCell ref="A11:F11"/>
    <mergeCell ref="G11:N11"/>
    <mergeCell ref="O11:AD11"/>
    <mergeCell ref="AE11:AH11"/>
    <mergeCell ref="A1:C3"/>
    <mergeCell ref="D1:AH3"/>
    <mergeCell ref="A4:A5"/>
    <mergeCell ref="G4:G5"/>
    <mergeCell ref="A6:B10"/>
    <mergeCell ref="C6:D10"/>
    <mergeCell ref="G6:G10"/>
    <mergeCell ref="H6:I10"/>
    <mergeCell ref="J6:J10"/>
    <mergeCell ref="A12:A13"/>
    <mergeCell ref="B12:B13"/>
    <mergeCell ref="C12:C13"/>
    <mergeCell ref="D12:D13"/>
    <mergeCell ref="E12:E13"/>
    <mergeCell ref="F12:F13"/>
    <mergeCell ref="K6:L10"/>
    <mergeCell ref="M6:M10"/>
    <mergeCell ref="N6:O10"/>
    <mergeCell ref="O12:O13"/>
    <mergeCell ref="E6:E10"/>
    <mergeCell ref="F6:F10"/>
    <mergeCell ref="P12:P13"/>
    <mergeCell ref="Q12:Q13"/>
    <mergeCell ref="R12:R13"/>
    <mergeCell ref="G12:G13"/>
    <mergeCell ref="H12:H13"/>
    <mergeCell ref="I12:I13"/>
    <mergeCell ref="J12:J13"/>
    <mergeCell ref="K12:K13"/>
    <mergeCell ref="L12:L13"/>
    <mergeCell ref="AE12:AE13"/>
    <mergeCell ref="AF12:AF13"/>
    <mergeCell ref="AG12:AG13"/>
    <mergeCell ref="AH12:AH13"/>
    <mergeCell ref="A14:A15"/>
    <mergeCell ref="B14:B15"/>
    <mergeCell ref="C14:C15"/>
    <mergeCell ref="D14:D15"/>
    <mergeCell ref="E14:E15"/>
    <mergeCell ref="F14:F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M14:M15"/>
    <mergeCell ref="N14:N15"/>
    <mergeCell ref="AE14:AE15"/>
    <mergeCell ref="AF14:AF15"/>
    <mergeCell ref="AG14:AG15"/>
    <mergeCell ref="AH14:AH15"/>
    <mergeCell ref="G14:G15"/>
    <mergeCell ref="H14:H15"/>
    <mergeCell ref="I14:I15"/>
    <mergeCell ref="J14:J15"/>
    <mergeCell ref="K14:K15"/>
    <mergeCell ref="L14:L15"/>
    <mergeCell ref="AF16:AF17"/>
    <mergeCell ref="AG16:AG17"/>
    <mergeCell ref="AH16:AH17"/>
    <mergeCell ref="G16:G17"/>
    <mergeCell ref="H16:H17"/>
    <mergeCell ref="I16:I17"/>
    <mergeCell ref="J16:J17"/>
    <mergeCell ref="K16:K17"/>
    <mergeCell ref="L16:L17"/>
    <mergeCell ref="A18:A19"/>
    <mergeCell ref="B18:B19"/>
    <mergeCell ref="C18:C19"/>
    <mergeCell ref="D18:D19"/>
    <mergeCell ref="E18:E19"/>
    <mergeCell ref="F18:F19"/>
    <mergeCell ref="M16:M17"/>
    <mergeCell ref="N16:N17"/>
    <mergeCell ref="AE16:AE17"/>
    <mergeCell ref="A16:A17"/>
    <mergeCell ref="B16:B17"/>
    <mergeCell ref="C16:C17"/>
    <mergeCell ref="D16:D17"/>
    <mergeCell ref="E16:E17"/>
    <mergeCell ref="F16:F17"/>
    <mergeCell ref="M18:M19"/>
    <mergeCell ref="N18:N19"/>
    <mergeCell ref="AE18:AE19"/>
    <mergeCell ref="AF18:AF19"/>
    <mergeCell ref="AG18:AG19"/>
    <mergeCell ref="AH18:AH19"/>
    <mergeCell ref="G18:G19"/>
    <mergeCell ref="H18:H19"/>
    <mergeCell ref="I18:I19"/>
    <mergeCell ref="J18:J19"/>
    <mergeCell ref="K18:K19"/>
    <mergeCell ref="L18:L19"/>
    <mergeCell ref="H38:I38"/>
    <mergeCell ref="I31:J31"/>
    <mergeCell ref="I32:J32"/>
    <mergeCell ref="I33:J33"/>
    <mergeCell ref="I34:J34"/>
    <mergeCell ref="H36:I36"/>
    <mergeCell ref="H37:I37"/>
    <mergeCell ref="D21:E21"/>
    <mergeCell ref="H21:H24"/>
    <mergeCell ref="D22:E22"/>
    <mergeCell ref="H25:H28"/>
    <mergeCell ref="I29:J29"/>
    <mergeCell ref="I30:J30"/>
  </mergeCells>
  <conditionalFormatting sqref="I4">
    <cfRule type="cellIs" dxfId="31" priority="7" operator="lessThanOrEqual">
      <formula>$C$4</formula>
    </cfRule>
  </conditionalFormatting>
  <conditionalFormatting sqref="J6">
    <cfRule type="cellIs" dxfId="30" priority="8" operator="greaterThanOrEqual">
      <formula>$C$5</formula>
    </cfRule>
    <cfRule type="cellIs" dxfId="29" priority="9" operator="lessThanOrEqual">
      <formula>$C$4</formula>
    </cfRule>
    <cfRule type="cellIs" dxfId="28" priority="10" operator="between">
      <formula>$C$5</formula>
      <formula>$C$4</formula>
    </cfRule>
  </conditionalFormatting>
  <conditionalFormatting sqref="P6">
    <cfRule type="cellIs" dxfId="27" priority="4" operator="greaterThanOrEqual">
      <formula>$I$5</formula>
    </cfRule>
    <cfRule type="cellIs" dxfId="26" priority="5" operator="lessThanOrEqual">
      <formula>$I$4</formula>
    </cfRule>
    <cfRule type="cellIs" dxfId="25" priority="6" operator="between">
      <formula>$I$5</formula>
      <formula>$I$4</formula>
    </cfRule>
  </conditionalFormatting>
  <conditionalFormatting sqref="Q14:Q19">
    <cfRule type="cellIs" dxfId="24" priority="1" operator="greaterThanOrEqual">
      <formula>$C$5</formula>
    </cfRule>
    <cfRule type="cellIs" dxfId="23" priority="2" operator="lessThanOrEqual">
      <formula>$C$4</formula>
    </cfRule>
    <cfRule type="cellIs" dxfId="22" priority="3" operator="between">
      <formula>$C$5</formula>
      <formula>$C$4</formula>
    </cfRule>
  </conditionalFormatting>
  <conditionalFormatting sqref="S29:S32 W29:W32 O29:O34 AA29:AA34 K30:N30 P30:R30 T30:V30 X30:Z30 AB30:AD30 J38">
    <cfRule type="cellIs" dxfId="21" priority="11" operator="greaterThanOrEqual">
      <formula>$D$9</formula>
    </cfRule>
    <cfRule type="cellIs" dxfId="20" priority="12" operator="lessThanOrEqual">
      <formula>$C$6</formula>
    </cfRule>
    <cfRule type="cellIs" dxfId="19" priority="13" operator="between">
      <formula>$C$6</formula>
      <formula>$D$9</formula>
    </cfRule>
  </conditionalFormatting>
  <dataValidations count="5">
    <dataValidation type="list" allowBlank="1" showInputMessage="1" showErrorMessage="1" sqref="D14:D19" xr:uid="{7930043D-A7CE-49B3-B3E2-971A230E86B1}">
      <formula1>$D$40:$D$46</formula1>
    </dataValidation>
    <dataValidation type="decimal" allowBlank="1" showInputMessage="1" showErrorMessage="1" prompt="valor porcentual de la activida - Indique el peso porcentual de la actividad dentro del proyecto" sqref="P14 P16 P18" xr:uid="{11B48740-64B0-4707-BCF9-35EC00E6AC81}">
      <formula1>0</formula1>
      <formula2>1</formula2>
    </dataValidation>
    <dataValidation type="decimal" allowBlank="1" showInputMessage="1" showErrorMessage="1" prompt="campo calculado  - indica el % de avance  que aporta la activadad a todo el proyecto" sqref="P15 P17 P19" xr:uid="{20FB3029-0D17-4BFB-972D-D800AE3A32C6}">
      <formula1>0</formula1>
      <formula2>1</formula2>
    </dataValidation>
    <dataValidation allowBlank="1" showErrorMessage="1" sqref="Q14:Q19" xr:uid="{F5362A74-310B-4E24-BA3C-597048C3539E}"/>
    <dataValidation type="decimal" allowBlank="1" showInputMessage="1" showErrorMessage="1" prompt="% de avance en la actividad - indique el % programado de avance durante esta semana_x000a_" sqref="R14:AD14 R15:AC19" xr:uid="{F20CBE96-C00B-4084-A10B-3B4CDA902F2F}">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71D5-A2B0-43A7-99E9-CDB5253A251B}">
  <dimension ref="A1:AG43"/>
  <sheetViews>
    <sheetView showGridLines="0" view="pageBreakPreview" topLeftCell="A10" zoomScale="60" zoomScaleNormal="10" zoomScalePageLayoutView="48" workbookViewId="0">
      <selection activeCell="E16" sqref="E16:E17"/>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10" width="28.54296875" style="13" customWidth="1"/>
    <col min="11" max="12" width="19.54296875" style="13" customWidth="1"/>
    <col min="13" max="14" width="18.453125" style="13" customWidth="1"/>
    <col min="15" max="17" width="13.54296875" style="13" customWidth="1"/>
    <col min="18" max="29" width="9.54296875" style="13" customWidth="1"/>
    <col min="30" max="30" width="35.54296875" style="13" customWidth="1"/>
    <col min="31" max="33" width="42.54296875" style="13" customWidth="1"/>
    <col min="34" max="16384" width="12.54296875" style="13"/>
  </cols>
  <sheetData>
    <row r="1" spans="1:33" s="5" customFormat="1" ht="15" customHeight="1" x14ac:dyDescent="0.35">
      <c r="A1" s="337"/>
      <c r="B1" s="338"/>
      <c r="C1" s="339"/>
      <c r="D1" s="346" t="s">
        <v>1752</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row>
    <row r="3" spans="1:33"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row>
    <row r="4" spans="1:33"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row>
    <row r="5" spans="1:33"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row>
    <row r="6" spans="1:33" ht="20.149999999999999" customHeight="1" x14ac:dyDescent="0.35">
      <c r="A6" s="295" t="s">
        <v>13</v>
      </c>
      <c r="B6" s="297"/>
      <c r="C6" s="633" t="s">
        <v>1753</v>
      </c>
      <c r="D6" s="634"/>
      <c r="E6" s="295" t="s">
        <v>15</v>
      </c>
      <c r="F6" s="297"/>
      <c r="G6" s="455">
        <f>+P15+P17+P19+P21</f>
        <v>1</v>
      </c>
      <c r="H6" s="295" t="s">
        <v>209</v>
      </c>
      <c r="I6" s="297"/>
      <c r="J6" s="489">
        <f>+P14+P16+P18+P20</f>
        <v>0.187475</v>
      </c>
      <c r="K6" s="295" t="s">
        <v>17</v>
      </c>
      <c r="L6" s="443">
        <v>1</v>
      </c>
      <c r="M6" s="295" t="s">
        <v>210</v>
      </c>
      <c r="N6" s="297"/>
      <c r="O6" s="304">
        <f>(SUM(R14:T14,R16:T16,R18:T18,R20:T20)/SUM(R15:T15,R17:T17,R19:T19,R21:T21))/L6</f>
        <v>0.99986666666666668</v>
      </c>
      <c r="P6" s="325"/>
      <c r="Q6" s="305"/>
      <c r="R6" s="295" t="s">
        <v>211</v>
      </c>
      <c r="S6" s="296"/>
      <c r="T6" s="296"/>
      <c r="U6" s="297"/>
      <c r="V6" s="304">
        <f>SUM(U14:W14,U16:W16,U18:W18,U20:W20)/SUM(U15:W15,U17:W17,U19:W19,U21:W21)/L6</f>
        <v>0</v>
      </c>
      <c r="W6" s="325"/>
      <c r="X6" s="325"/>
      <c r="Y6" s="305"/>
      <c r="Z6" s="295" t="s">
        <v>212</v>
      </c>
      <c r="AA6" s="296"/>
      <c r="AB6" s="296"/>
      <c r="AC6" s="297"/>
      <c r="AD6" s="304">
        <f>((SUM(U14:W14,U16:W16,U18:W18,U20:W20)/SUM(U15:W15,U17:W17,U19:W19,U21:W21)))</f>
        <v>0</v>
      </c>
      <c r="AE6" s="295" t="s">
        <v>213</v>
      </c>
      <c r="AF6" s="304">
        <f>SUM(AA14:AC14,AA16:AC16,AA18:AC18,AA20:AC20)/SUM(AA15:AC15,AA17:AC17,AA19:AC19,AA21:AC21)/L6</f>
        <v>0</v>
      </c>
      <c r="AG6" s="295"/>
    </row>
    <row r="7" spans="1:33" ht="15" customHeight="1" x14ac:dyDescent="0.35">
      <c r="A7" s="298"/>
      <c r="B7" s="300"/>
      <c r="C7" s="634"/>
      <c r="D7" s="634"/>
      <c r="E7" s="298"/>
      <c r="F7" s="300"/>
      <c r="G7" s="456"/>
      <c r="H7" s="298"/>
      <c r="I7" s="300"/>
      <c r="J7" s="490"/>
      <c r="K7" s="298"/>
      <c r="L7" s="444"/>
      <c r="M7" s="298"/>
      <c r="N7" s="300"/>
      <c r="O7" s="306"/>
      <c r="P7" s="326"/>
      <c r="Q7" s="307"/>
      <c r="R7" s="298"/>
      <c r="S7" s="299"/>
      <c r="T7" s="299"/>
      <c r="U7" s="300"/>
      <c r="V7" s="306"/>
      <c r="W7" s="326"/>
      <c r="X7" s="326"/>
      <c r="Y7" s="307"/>
      <c r="Z7" s="298"/>
      <c r="AA7" s="299"/>
      <c r="AB7" s="299"/>
      <c r="AC7" s="300"/>
      <c r="AD7" s="306"/>
      <c r="AE7" s="298"/>
      <c r="AF7" s="306"/>
      <c r="AG7" s="298"/>
    </row>
    <row r="8" spans="1:33" ht="25.4" customHeight="1" x14ac:dyDescent="0.35">
      <c r="A8" s="298"/>
      <c r="B8" s="300"/>
      <c r="C8" s="634"/>
      <c r="D8" s="634"/>
      <c r="E8" s="298"/>
      <c r="F8" s="300"/>
      <c r="G8" s="456"/>
      <c r="H8" s="298"/>
      <c r="I8" s="300"/>
      <c r="J8" s="490"/>
      <c r="K8" s="298"/>
      <c r="L8" s="444"/>
      <c r="M8" s="298"/>
      <c r="N8" s="300"/>
      <c r="O8" s="306"/>
      <c r="P8" s="326"/>
      <c r="Q8" s="307"/>
      <c r="R8" s="298"/>
      <c r="S8" s="299"/>
      <c r="T8" s="299"/>
      <c r="U8" s="300"/>
      <c r="V8" s="306"/>
      <c r="W8" s="326"/>
      <c r="X8" s="326"/>
      <c r="Y8" s="307"/>
      <c r="Z8" s="298"/>
      <c r="AA8" s="299"/>
      <c r="AB8" s="299"/>
      <c r="AC8" s="300"/>
      <c r="AD8" s="306"/>
      <c r="AE8" s="298"/>
      <c r="AF8" s="306"/>
      <c r="AG8" s="298"/>
    </row>
    <row r="9" spans="1:33" ht="25.4" customHeight="1" x14ac:dyDescent="0.35">
      <c r="A9" s="298"/>
      <c r="B9" s="300"/>
      <c r="C9" s="634"/>
      <c r="D9" s="634"/>
      <c r="E9" s="298"/>
      <c r="F9" s="300"/>
      <c r="G9" s="456"/>
      <c r="H9" s="298"/>
      <c r="I9" s="300"/>
      <c r="J9" s="490"/>
      <c r="K9" s="298"/>
      <c r="L9" s="444"/>
      <c r="M9" s="298"/>
      <c r="N9" s="300"/>
      <c r="O9" s="306"/>
      <c r="P9" s="326"/>
      <c r="Q9" s="307"/>
      <c r="R9" s="298"/>
      <c r="S9" s="299"/>
      <c r="T9" s="299"/>
      <c r="U9" s="300"/>
      <c r="V9" s="306"/>
      <c r="W9" s="326"/>
      <c r="X9" s="326"/>
      <c r="Y9" s="307"/>
      <c r="Z9" s="298"/>
      <c r="AA9" s="299"/>
      <c r="AB9" s="299"/>
      <c r="AC9" s="300"/>
      <c r="AD9" s="306"/>
      <c r="AE9" s="298"/>
      <c r="AF9" s="306"/>
      <c r="AG9" s="298"/>
    </row>
    <row r="10" spans="1:33" ht="15" customHeight="1" thickBot="1" x14ac:dyDescent="0.4">
      <c r="A10" s="467"/>
      <c r="B10" s="468"/>
      <c r="C10" s="634"/>
      <c r="D10" s="634"/>
      <c r="E10" s="467"/>
      <c r="F10" s="468"/>
      <c r="G10" s="457"/>
      <c r="H10" s="467"/>
      <c r="I10" s="468"/>
      <c r="J10" s="491"/>
      <c r="K10" s="467"/>
      <c r="L10" s="445"/>
      <c r="M10" s="301"/>
      <c r="N10" s="303"/>
      <c r="O10" s="308"/>
      <c r="P10" s="327"/>
      <c r="Q10" s="309"/>
      <c r="R10" s="301"/>
      <c r="S10" s="302"/>
      <c r="T10" s="302"/>
      <c r="U10" s="303"/>
      <c r="V10" s="308"/>
      <c r="W10" s="327"/>
      <c r="X10" s="327"/>
      <c r="Y10" s="309"/>
      <c r="Z10" s="301"/>
      <c r="AA10" s="302"/>
      <c r="AB10" s="302"/>
      <c r="AC10" s="303"/>
      <c r="AD10" s="308"/>
      <c r="AE10" s="301"/>
      <c r="AF10" s="308"/>
      <c r="AG10" s="301"/>
    </row>
    <row r="11" spans="1:33" s="14" customFormat="1" ht="40.4" customHeight="1" thickBot="1" x14ac:dyDescent="0.4">
      <c r="A11" s="313" t="s">
        <v>21</v>
      </c>
      <c r="B11" s="313"/>
      <c r="C11" s="313"/>
      <c r="D11" s="313"/>
      <c r="E11" s="313"/>
      <c r="F11" s="314"/>
      <c r="G11" s="437" t="s">
        <v>22</v>
      </c>
      <c r="H11" s="438"/>
      <c r="I11" s="438"/>
      <c r="J11" s="438"/>
      <c r="K11" s="438"/>
      <c r="L11" s="438"/>
      <c r="M11" s="438"/>
      <c r="N11" s="439"/>
      <c r="O11" s="610" t="s">
        <v>23</v>
      </c>
      <c r="P11" s="487"/>
      <c r="Q11" s="487"/>
      <c r="R11" s="487"/>
      <c r="S11" s="487"/>
      <c r="T11" s="487"/>
      <c r="U11" s="487"/>
      <c r="V11" s="487"/>
      <c r="W11" s="487"/>
      <c r="X11" s="487"/>
      <c r="Y11" s="487"/>
      <c r="Z11" s="487"/>
      <c r="AA11" s="487"/>
      <c r="AB11" s="487"/>
      <c r="AC11" s="487"/>
      <c r="AD11" s="320" t="s">
        <v>24</v>
      </c>
      <c r="AE11" s="321"/>
      <c r="AF11" s="321"/>
      <c r="AG11" s="321"/>
    </row>
    <row r="12" spans="1:33" ht="39" customHeight="1" x14ac:dyDescent="0.35">
      <c r="A12" s="286" t="s">
        <v>25</v>
      </c>
      <c r="B12" s="294" t="s">
        <v>26</v>
      </c>
      <c r="C12" s="294" t="s">
        <v>27</v>
      </c>
      <c r="D12" s="294" t="s">
        <v>28</v>
      </c>
      <c r="E12" s="294" t="s">
        <v>29</v>
      </c>
      <c r="F12" s="294" t="s">
        <v>1754</v>
      </c>
      <c r="G12" s="294" t="s">
        <v>1706</v>
      </c>
      <c r="H12" s="286" t="s">
        <v>1708</v>
      </c>
      <c r="I12" s="286" t="s">
        <v>33</v>
      </c>
      <c r="J12" s="286" t="s">
        <v>34</v>
      </c>
      <c r="K12" s="286" t="s">
        <v>35</v>
      </c>
      <c r="L12" s="286" t="s">
        <v>36</v>
      </c>
      <c r="M12" s="286" t="s">
        <v>37</v>
      </c>
      <c r="N12" s="294" t="s">
        <v>38</v>
      </c>
      <c r="O12" s="310" t="s">
        <v>39</v>
      </c>
      <c r="P12" s="311" t="s">
        <v>40</v>
      </c>
      <c r="Q12" s="312" t="s">
        <v>41</v>
      </c>
      <c r="R12" s="291" t="s">
        <v>42</v>
      </c>
      <c r="S12" s="291" t="s">
        <v>43</v>
      </c>
      <c r="T12" s="291" t="s">
        <v>44</v>
      </c>
      <c r="U12" s="291" t="s">
        <v>45</v>
      </c>
      <c r="V12" s="291" t="s">
        <v>46</v>
      </c>
      <c r="W12" s="291" t="s">
        <v>47</v>
      </c>
      <c r="X12" s="291" t="s">
        <v>47</v>
      </c>
      <c r="Y12" s="291" t="s">
        <v>49</v>
      </c>
      <c r="Z12" s="291" t="s">
        <v>50</v>
      </c>
      <c r="AA12" s="291" t="s">
        <v>51</v>
      </c>
      <c r="AB12" s="291" t="s">
        <v>52</v>
      </c>
      <c r="AC12" s="291" t="s">
        <v>53</v>
      </c>
      <c r="AD12" s="435" t="s">
        <v>216</v>
      </c>
      <c r="AE12" s="394" t="s">
        <v>217</v>
      </c>
      <c r="AF12" s="394" t="s">
        <v>218</v>
      </c>
      <c r="AG12" s="396" t="s">
        <v>219</v>
      </c>
    </row>
    <row r="13" spans="1:33"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436"/>
      <c r="AE13" s="395"/>
      <c r="AF13" s="395"/>
      <c r="AG13" s="397"/>
    </row>
    <row r="14" spans="1:33" ht="78" customHeight="1" thickBot="1" x14ac:dyDescent="0.4">
      <c r="A14" s="262">
        <v>1</v>
      </c>
      <c r="B14" s="262" t="s">
        <v>81</v>
      </c>
      <c r="C14" s="262" t="s">
        <v>122</v>
      </c>
      <c r="D14" s="262" t="s">
        <v>60</v>
      </c>
      <c r="E14" s="262" t="s">
        <v>86</v>
      </c>
      <c r="F14" s="262" t="s">
        <v>203</v>
      </c>
      <c r="G14" s="262" t="s">
        <v>215</v>
      </c>
      <c r="H14" s="262" t="s">
        <v>1755</v>
      </c>
      <c r="I14" s="262" t="s">
        <v>1756</v>
      </c>
      <c r="J14" s="275" t="s">
        <v>1714</v>
      </c>
      <c r="K14" s="275" t="s">
        <v>1715</v>
      </c>
      <c r="L14" s="275" t="s">
        <v>67</v>
      </c>
      <c r="M14" s="278">
        <v>45323</v>
      </c>
      <c r="N14" s="278">
        <v>45688</v>
      </c>
      <c r="O14" s="15" t="s">
        <v>68</v>
      </c>
      <c r="P14" s="16">
        <f>+(P15*Q14)</f>
        <v>6.25E-2</v>
      </c>
      <c r="Q14" s="17">
        <f t="shared" ref="Q14:Q21" si="0">SUM(R14:AC14)</f>
        <v>0.25</v>
      </c>
      <c r="R14" s="18"/>
      <c r="S14" s="18"/>
      <c r="T14" s="18">
        <v>0.25</v>
      </c>
      <c r="U14" s="18"/>
      <c r="V14" s="18"/>
      <c r="W14" s="18"/>
      <c r="X14" s="18"/>
      <c r="Y14" s="19"/>
      <c r="Z14" s="19"/>
      <c r="AA14" s="19"/>
      <c r="AB14" s="19"/>
      <c r="AC14" s="19"/>
      <c r="AD14" s="380" t="s">
        <v>1757</v>
      </c>
      <c r="AE14" s="380"/>
      <c r="AF14" s="429"/>
      <c r="AG14" s="429"/>
    </row>
    <row r="15" spans="1:33" ht="127.5" customHeight="1" thickBot="1" x14ac:dyDescent="0.4">
      <c r="A15" s="263"/>
      <c r="B15" s="263"/>
      <c r="C15" s="263"/>
      <c r="D15" s="263" t="s">
        <v>60</v>
      </c>
      <c r="E15" s="263"/>
      <c r="F15" s="263"/>
      <c r="G15" s="263"/>
      <c r="H15" s="263"/>
      <c r="I15" s="263"/>
      <c r="J15" s="277"/>
      <c r="K15" s="277"/>
      <c r="L15" s="277"/>
      <c r="M15" s="605"/>
      <c r="N15" s="605"/>
      <c r="O15" s="15" t="s">
        <v>69</v>
      </c>
      <c r="P15" s="21">
        <f>100%/4</f>
        <v>0.25</v>
      </c>
      <c r="Q15" s="17">
        <f t="shared" si="0"/>
        <v>1</v>
      </c>
      <c r="R15" s="22"/>
      <c r="S15" s="22"/>
      <c r="T15" s="22">
        <v>0.25</v>
      </c>
      <c r="U15" s="22"/>
      <c r="V15" s="22"/>
      <c r="W15" s="22">
        <v>0.25</v>
      </c>
      <c r="X15" s="22"/>
      <c r="Y15" s="22"/>
      <c r="Z15" s="22">
        <v>0.25</v>
      </c>
      <c r="AA15" s="22"/>
      <c r="AB15" s="22"/>
      <c r="AC15" s="22">
        <v>0.25</v>
      </c>
      <c r="AD15" s="362"/>
      <c r="AE15" s="362"/>
      <c r="AF15" s="475"/>
      <c r="AG15" s="476"/>
    </row>
    <row r="16" spans="1:33" ht="122.15" customHeight="1" thickBot="1" x14ac:dyDescent="0.4">
      <c r="A16" s="262">
        <v>2</v>
      </c>
      <c r="B16" s="614" t="s">
        <v>94</v>
      </c>
      <c r="C16" s="620" t="s">
        <v>98</v>
      </c>
      <c r="D16" s="262" t="s">
        <v>60</v>
      </c>
      <c r="E16" s="614" t="s">
        <v>86</v>
      </c>
      <c r="F16" s="614" t="s">
        <v>87</v>
      </c>
      <c r="G16" s="614" t="s">
        <v>1758</v>
      </c>
      <c r="H16" s="614" t="s">
        <v>1759</v>
      </c>
      <c r="I16" s="614" t="s">
        <v>1760</v>
      </c>
      <c r="J16" s="616" t="s">
        <v>1761</v>
      </c>
      <c r="K16" s="616" t="s">
        <v>1762</v>
      </c>
      <c r="L16" s="616" t="s">
        <v>288</v>
      </c>
      <c r="M16" s="627">
        <v>45292</v>
      </c>
      <c r="N16" s="627">
        <v>45657</v>
      </c>
      <c r="O16" s="15" t="s">
        <v>68</v>
      </c>
      <c r="P16" s="16">
        <f>+(P17*Q16)</f>
        <v>6.2475000000000003E-2</v>
      </c>
      <c r="Q16" s="17">
        <f t="shared" si="0"/>
        <v>0.24990000000000001</v>
      </c>
      <c r="R16" s="18">
        <v>8.3299999999999999E-2</v>
      </c>
      <c r="S16" s="18">
        <v>8.3299999999999999E-2</v>
      </c>
      <c r="T16" s="18">
        <v>8.3299999999999999E-2</v>
      </c>
      <c r="U16" s="18"/>
      <c r="V16" s="18"/>
      <c r="W16" s="18"/>
      <c r="X16" s="18"/>
      <c r="Y16" s="18"/>
      <c r="Z16" s="19"/>
      <c r="AA16" s="19"/>
      <c r="AB16" s="19"/>
      <c r="AC16" s="19"/>
      <c r="AD16" s="384" t="s">
        <v>1763</v>
      </c>
      <c r="AE16" s="428"/>
      <c r="AF16" s="475"/>
      <c r="AG16" s="475"/>
    </row>
    <row r="17" spans="1:33" ht="37.4" customHeight="1" thickBot="1" x14ac:dyDescent="0.4">
      <c r="A17" s="263"/>
      <c r="B17" s="615"/>
      <c r="C17" s="621"/>
      <c r="D17" s="263" t="s">
        <v>60</v>
      </c>
      <c r="E17" s="615"/>
      <c r="F17" s="615"/>
      <c r="G17" s="615"/>
      <c r="H17" s="615"/>
      <c r="I17" s="615"/>
      <c r="J17" s="617"/>
      <c r="K17" s="617"/>
      <c r="L17" s="617"/>
      <c r="M17" s="628"/>
      <c r="N17" s="628"/>
      <c r="O17" s="15" t="s">
        <v>69</v>
      </c>
      <c r="P17" s="21">
        <f>100%/4</f>
        <v>0.25</v>
      </c>
      <c r="Q17" s="17">
        <f t="shared" si="0"/>
        <v>1</v>
      </c>
      <c r="R17" s="22"/>
      <c r="S17" s="22"/>
      <c r="T17" s="22">
        <v>0.25</v>
      </c>
      <c r="U17" s="22"/>
      <c r="V17" s="22"/>
      <c r="W17" s="22">
        <v>0.25</v>
      </c>
      <c r="X17" s="22"/>
      <c r="Y17" s="22"/>
      <c r="Z17" s="22">
        <v>0.25</v>
      </c>
      <c r="AA17" s="22"/>
      <c r="AB17" s="22"/>
      <c r="AC17" s="22">
        <v>0.25</v>
      </c>
      <c r="AD17" s="613"/>
      <c r="AE17" s="429"/>
      <c r="AF17" s="476"/>
      <c r="AG17" s="476"/>
    </row>
    <row r="18" spans="1:33" ht="82.4" customHeight="1" thickBot="1" x14ac:dyDescent="0.4">
      <c r="A18" s="262">
        <v>3</v>
      </c>
      <c r="B18" s="625" t="s">
        <v>94</v>
      </c>
      <c r="C18" s="620" t="s">
        <v>98</v>
      </c>
      <c r="D18" s="262" t="s">
        <v>60</v>
      </c>
      <c r="E18" s="625" t="s">
        <v>86</v>
      </c>
      <c r="F18" s="625" t="s">
        <v>87</v>
      </c>
      <c r="G18" s="625" t="s">
        <v>1764</v>
      </c>
      <c r="H18" s="625" t="s">
        <v>1765</v>
      </c>
      <c r="I18" s="625" t="s">
        <v>1766</v>
      </c>
      <c r="J18" s="631" t="s">
        <v>1761</v>
      </c>
      <c r="K18" s="618" t="s">
        <v>1767</v>
      </c>
      <c r="L18" s="631" t="s">
        <v>1744</v>
      </c>
      <c r="M18" s="622">
        <v>45474</v>
      </c>
      <c r="N18" s="622">
        <v>45641</v>
      </c>
      <c r="O18" s="15" t="s">
        <v>68</v>
      </c>
      <c r="P18" s="16">
        <f>+(P19*Q18)</f>
        <v>0</v>
      </c>
      <c r="Q18" s="17">
        <f t="shared" si="0"/>
        <v>0</v>
      </c>
      <c r="R18" s="18"/>
      <c r="S18" s="18"/>
      <c r="T18" s="18"/>
      <c r="U18" s="18"/>
      <c r="V18" s="18"/>
      <c r="W18" s="18"/>
      <c r="X18" s="18"/>
      <c r="Y18" s="19"/>
      <c r="Z18" s="19"/>
      <c r="AA18" s="19"/>
      <c r="AB18" s="19"/>
      <c r="AC18" s="19"/>
      <c r="AD18" s="624" t="s">
        <v>1768</v>
      </c>
      <c r="AE18" s="624"/>
      <c r="AF18" s="429"/>
      <c r="AG18" s="475"/>
    </row>
    <row r="19" spans="1:33" ht="37.4" customHeight="1" thickBot="1" x14ac:dyDescent="0.4">
      <c r="A19" s="263"/>
      <c r="B19" s="626"/>
      <c r="C19" s="621"/>
      <c r="D19" s="263" t="s">
        <v>60</v>
      </c>
      <c r="E19" s="626"/>
      <c r="F19" s="626"/>
      <c r="G19" s="626"/>
      <c r="H19" s="626"/>
      <c r="I19" s="626"/>
      <c r="J19" s="632"/>
      <c r="K19" s="619"/>
      <c r="L19" s="632"/>
      <c r="M19" s="623"/>
      <c r="N19" s="623"/>
      <c r="O19" s="15" t="s">
        <v>69</v>
      </c>
      <c r="P19" s="21">
        <f>100%/4</f>
        <v>0.25</v>
      </c>
      <c r="Q19" s="17">
        <f t="shared" si="0"/>
        <v>1</v>
      </c>
      <c r="R19" s="22"/>
      <c r="S19" s="22"/>
      <c r="T19" s="22"/>
      <c r="U19" s="22"/>
      <c r="V19" s="22"/>
      <c r="W19" s="22"/>
      <c r="X19" s="22"/>
      <c r="Y19" s="22"/>
      <c r="Z19" s="22"/>
      <c r="AA19" s="22"/>
      <c r="AB19" s="22"/>
      <c r="AC19" s="22">
        <v>1</v>
      </c>
      <c r="AD19" s="613"/>
      <c r="AE19" s="613"/>
      <c r="AF19" s="475"/>
      <c r="AG19" s="476"/>
    </row>
    <row r="20" spans="1:33" ht="253.4" customHeight="1" thickBot="1" x14ac:dyDescent="0.4">
      <c r="A20" s="262">
        <v>4</v>
      </c>
      <c r="B20" s="614" t="s">
        <v>94</v>
      </c>
      <c r="C20" s="620" t="s">
        <v>98</v>
      </c>
      <c r="D20" s="262" t="s">
        <v>60</v>
      </c>
      <c r="E20" s="614" t="s">
        <v>86</v>
      </c>
      <c r="F20" s="614" t="s">
        <v>87</v>
      </c>
      <c r="G20" s="614" t="s">
        <v>1769</v>
      </c>
      <c r="H20" s="614" t="s">
        <v>1770</v>
      </c>
      <c r="I20" s="614" t="s">
        <v>1771</v>
      </c>
      <c r="J20" s="616" t="s">
        <v>1761</v>
      </c>
      <c r="K20" s="618" t="s">
        <v>1767</v>
      </c>
      <c r="L20" s="616" t="s">
        <v>288</v>
      </c>
      <c r="M20" s="627">
        <v>45292</v>
      </c>
      <c r="N20" s="627">
        <v>45657</v>
      </c>
      <c r="O20" s="15" t="s">
        <v>68</v>
      </c>
      <c r="P20" s="16">
        <f>+(P21*Q20)</f>
        <v>6.25E-2</v>
      </c>
      <c r="Q20" s="17">
        <f t="shared" si="0"/>
        <v>0.25</v>
      </c>
      <c r="R20" s="18"/>
      <c r="S20" s="18"/>
      <c r="T20" s="18">
        <v>0.25</v>
      </c>
      <c r="U20" s="18"/>
      <c r="V20" s="18"/>
      <c r="W20" s="18"/>
      <c r="X20" s="18"/>
      <c r="Y20" s="18"/>
      <c r="Z20" s="19"/>
      <c r="AA20" s="19"/>
      <c r="AB20" s="19"/>
      <c r="AC20" s="19"/>
      <c r="AD20" s="629" t="s">
        <v>1772</v>
      </c>
      <c r="AE20" s="429"/>
      <c r="AF20" s="429"/>
      <c r="AG20" s="429"/>
    </row>
    <row r="21" spans="1:33" ht="47.15" customHeight="1" x14ac:dyDescent="0.35">
      <c r="A21" s="263"/>
      <c r="B21" s="615"/>
      <c r="C21" s="621"/>
      <c r="D21" s="263" t="s">
        <v>60</v>
      </c>
      <c r="E21" s="615"/>
      <c r="F21" s="615"/>
      <c r="G21" s="615"/>
      <c r="H21" s="615"/>
      <c r="I21" s="615"/>
      <c r="J21" s="617"/>
      <c r="K21" s="619"/>
      <c r="L21" s="617"/>
      <c r="M21" s="628"/>
      <c r="N21" s="628"/>
      <c r="O21" s="15" t="s">
        <v>69</v>
      </c>
      <c r="P21" s="21">
        <f>100%/4</f>
        <v>0.25</v>
      </c>
      <c r="Q21" s="17">
        <f t="shared" si="0"/>
        <v>1</v>
      </c>
      <c r="R21" s="22"/>
      <c r="S21" s="22"/>
      <c r="T21" s="22">
        <v>0.25</v>
      </c>
      <c r="U21" s="22"/>
      <c r="V21" s="22"/>
      <c r="W21" s="22">
        <v>0.25</v>
      </c>
      <c r="X21" s="22"/>
      <c r="Y21" s="22"/>
      <c r="Z21" s="22">
        <v>0.25</v>
      </c>
      <c r="AA21" s="22"/>
      <c r="AB21" s="22"/>
      <c r="AC21" s="22">
        <v>0.25</v>
      </c>
      <c r="AD21" s="630"/>
      <c r="AE21" s="428"/>
      <c r="AF21" s="475"/>
      <c r="AG21" s="475"/>
    </row>
    <row r="23" spans="1:33" ht="30" hidden="1" customHeight="1" x14ac:dyDescent="0.35">
      <c r="D23" s="264" t="s">
        <v>17</v>
      </c>
      <c r="E23" s="264"/>
      <c r="F23" s="30">
        <v>1</v>
      </c>
      <c r="H23" s="432" t="s">
        <v>305</v>
      </c>
      <c r="I23" s="31" t="s">
        <v>107</v>
      </c>
      <c r="J23" s="32" t="e">
        <f>SUM(N23:AC23)</f>
        <v>#REF!</v>
      </c>
      <c r="K23" s="33"/>
      <c r="L23" s="33"/>
      <c r="M23" s="33"/>
      <c r="N23" s="33" t="e">
        <f>+(U14*$P$15)+(V16*$P$17)+(U18*$P$19)+(V20*$P$21)+(#REF!*#REF!)+(#REF!*#REF!)+(#REF!*#REF!)+(#REF!*#REF!)+(#REF!*#REF!)+(#REF!*#REF!)+(#REF!*#REF!)+(#REF!*#REF!)+(#REF!*#REF!)</f>
        <v>#REF!</v>
      </c>
      <c r="O23" s="33" t="e">
        <f>+(AB14*$P$15)+(AC16*$P$17)+(AB18*$P$19)+(AC20*$P$21)+(#REF!*#REF!)+(#REF!*#REF!)+(#REF!*#REF!)+(#REF!*#REF!)+(#REF!*#REF!)+(#REF!*#REF!)+(#REF!*#REF!)+(#REF!*#REF!)+(#REF!*#REF!)</f>
        <v>#REF!</v>
      </c>
      <c r="P23" s="34" t="e">
        <f>+(#REF!*$P$15)+(#REF!*$P$17)+(#REF!*$P$19)+(#REF!*$P$21)+(#REF!*#REF!)+(#REF!*#REF!)+(#REF!*#REF!)+(#REF!*#REF!)+(#REF!*#REF!)+(#REF!*#REF!)+(#REF!*#REF!)+(#REF!*#REF!)+(#REF!*#REF!)</f>
        <v>#REF!</v>
      </c>
      <c r="Q23" s="33" t="e">
        <f>+(#REF!*$P$15)+(#REF!*$P$17)+(#REF!*$P$19)+(#REF!*$P$21)+(#REF!*#REF!)+(#REF!*#REF!)+(#REF!*#REF!)+(#REF!*#REF!)+(#REF!*#REF!)+(#REF!*#REF!)+(#REF!*#REF!)+(#REF!*#REF!)+(#REF!*#REF!)</f>
        <v>#REF!</v>
      </c>
      <c r="R23" s="33" t="e">
        <f>+(#REF!*$P$15)+(#REF!*$P$17)+(#REF!*$P$19)+(#REF!*$P$21)+(#REF!*#REF!)+(#REF!*#REF!)+(#REF!*#REF!)+(#REF!*#REF!)+(#REF!*#REF!)+(#REF!*#REF!)+(#REF!*#REF!)+(#REF!*#REF!)+(#REF!*#REF!)</f>
        <v>#REF!</v>
      </c>
      <c r="S23" s="33" t="e">
        <f>+(#REF!*$P$15)+(#REF!*$P$17)+(#REF!*$P$19)+(#REF!*$P$21)+(#REF!*#REF!)+(#REF!*#REF!)+(#REF!*#REF!)+(#REF!*#REF!)+(#REF!*#REF!)+(#REF!*#REF!)+(#REF!*#REF!)+(#REF!*#REF!)+(#REF!*#REF!)</f>
        <v>#REF!</v>
      </c>
      <c r="T23" s="33" t="e">
        <f>+(#REF!*$P$15)+(#REF!*$P$17)+(#REF!*$P$19)+(#REF!*$P$21)+(#REF!*#REF!)+(#REF!*#REF!)+(#REF!*#REF!)+(#REF!*#REF!)+(#REF!*#REF!)+(#REF!*#REF!)+(#REF!*#REF!)+(#REF!*#REF!)+(#REF!*#REF!)</f>
        <v>#REF!</v>
      </c>
      <c r="U23" s="33" t="e">
        <f>+(#REF!*$P$15)+(#REF!*$P$17)+(#REF!*$P$19)+(#REF!*$P$21)+(#REF!*#REF!)+(#REF!*#REF!)+(#REF!*#REF!)+(#REF!*#REF!)+(#REF!*#REF!)+(#REF!*#REF!)+(#REF!*#REF!)+(#REF!*#REF!)+(#REF!*#REF!)</f>
        <v>#REF!</v>
      </c>
      <c r="V23" s="33" t="e">
        <f>+(#REF!*$P$15)+(#REF!*$P$17)+(#REF!*$P$19)+(#REF!*$P$21)+(#REF!*#REF!)+(#REF!*#REF!)+(#REF!*#REF!)+(#REF!*#REF!)+(#REF!*#REF!)+(#REF!*#REF!)+(#REF!*#REF!)+(#REF!*#REF!)+(#REF!*#REF!)</f>
        <v>#REF!</v>
      </c>
      <c r="W23" s="33" t="e">
        <f>+(#REF!*$P$15)+(#REF!*$P$17)+(#REF!*$P$19)+(#REF!*$P$21)+(#REF!*#REF!)+(#REF!*#REF!)+(#REF!*#REF!)+(#REF!*#REF!)+(#REF!*#REF!)+(#REF!*#REF!)+(#REF!*#REF!)+(#REF!*#REF!)+(#REF!*#REF!)</f>
        <v>#REF!</v>
      </c>
      <c r="X23" s="33" t="e">
        <f>+(#REF!*$P$15)+(#REF!*$P$17)+(#REF!*$P$19)+(#REF!*$P$21)+(#REF!*#REF!)+(#REF!*#REF!)+(#REF!*#REF!)+(#REF!*#REF!)+(#REF!*#REF!)+(#REF!*#REF!)+(#REF!*#REF!)+(#REF!*#REF!)+(#REF!*#REF!)</f>
        <v>#REF!</v>
      </c>
      <c r="Y23" s="33" t="e">
        <f>+(#REF!*$P$15)+(#REF!*$P$17)+(#REF!*$P$19)+(#REF!*$P$21)+(#REF!*#REF!)+(#REF!*#REF!)+(#REF!*#REF!)+(#REF!*#REF!)+(#REF!*#REF!)+(#REF!*#REF!)+(#REF!*#REF!)+(#REF!*#REF!)+(#REF!*#REF!)</f>
        <v>#REF!</v>
      </c>
      <c r="Z23" s="33" t="e">
        <f>+(#REF!*$P$15)+(#REF!*$P$17)+(#REF!*$P$19)+(#REF!*$P$21)+(#REF!*#REF!)+(#REF!*#REF!)+(#REF!*#REF!)+(#REF!*#REF!)+(#REF!*#REF!)+(#REF!*#REF!)+(#REF!*#REF!)+(#REF!*#REF!)+(#REF!*#REF!)</f>
        <v>#REF!</v>
      </c>
      <c r="AA23" s="33" t="e">
        <f>+(#REF!*$P$15)+(#REF!*$P$17)+(#REF!*$P$19)+(#REF!*$P$21)+(#REF!*#REF!)+(#REF!*#REF!)+(#REF!*#REF!)+(#REF!*#REF!)+(#REF!*#REF!)+(#REF!*#REF!)+(#REF!*#REF!)+(#REF!*#REF!)+(#REF!*#REF!)</f>
        <v>#REF!</v>
      </c>
      <c r="AB23" s="34" t="e">
        <f>+(#REF!*$P$15)+(#REF!*$P$17)+(#REF!*$P$19)+(#REF!*$P$21)+(#REF!*#REF!)+(#REF!*#REF!)+(#REF!*#REF!)+(#REF!*#REF!)+(#REF!*#REF!)+(#REF!*#REF!)+(#REF!*#REF!)+(#REF!*#REF!)+(#REF!*#REF!)</f>
        <v>#REF!</v>
      </c>
      <c r="AC23" s="33" t="e">
        <f>+(#REF!*$P$15)+(#REF!*$P$17)+(#REF!*$P$19)+(#REF!*$P$21)+(#REF!*#REF!)+(#REF!*#REF!)+(#REF!*#REF!)+(#REF!*#REF!)+(#REF!*#REF!)+(#REF!*#REF!)+(#REF!*#REF!)+(#REF!*#REF!)+(#REF!*#REF!)</f>
        <v>#REF!</v>
      </c>
    </row>
    <row r="24" spans="1:33" ht="30" hidden="1" customHeight="1" x14ac:dyDescent="0.35">
      <c r="D24" s="264"/>
      <c r="E24" s="264"/>
      <c r="F24" s="30"/>
      <c r="H24" s="426"/>
      <c r="I24" s="36" t="s">
        <v>108</v>
      </c>
      <c r="J24" s="37"/>
      <c r="K24" s="38"/>
      <c r="L24" s="38"/>
      <c r="M24" s="38"/>
      <c r="N24" s="38"/>
      <c r="O24" s="38" t="e">
        <f>SUM(O23:O23)</f>
        <v>#REF!</v>
      </c>
      <c r="P24" s="39"/>
      <c r="Q24" s="38"/>
      <c r="R24" s="38"/>
      <c r="S24" s="40" t="e">
        <f>SUM(P23:S23)</f>
        <v>#REF!</v>
      </c>
      <c r="T24" s="40"/>
      <c r="U24" s="40"/>
      <c r="V24" s="40"/>
      <c r="W24" s="40" t="e">
        <f>SUM(T23:W23)</f>
        <v>#REF!</v>
      </c>
      <c r="X24" s="40"/>
      <c r="Y24" s="40"/>
      <c r="Z24" s="40"/>
      <c r="AA24" s="40" t="e">
        <f>SUM(X23:AA23)</f>
        <v>#REF!</v>
      </c>
      <c r="AB24" s="41"/>
      <c r="AC24" s="40"/>
    </row>
    <row r="25" spans="1:33" ht="30" hidden="1" customHeight="1" x14ac:dyDescent="0.35">
      <c r="H25" s="426"/>
      <c r="I25" s="36" t="s">
        <v>109</v>
      </c>
      <c r="J25" s="43"/>
      <c r="K25" s="38"/>
      <c r="L25" s="38"/>
      <c r="M25" s="38"/>
      <c r="N25" s="38"/>
      <c r="O25" s="38" t="e">
        <f>+#REF!+O24</f>
        <v>#REF!</v>
      </c>
      <c r="P25" s="39"/>
      <c r="Q25" s="38"/>
      <c r="R25" s="38"/>
      <c r="S25" s="44"/>
      <c r="T25" s="40"/>
      <c r="U25" s="40"/>
      <c r="V25" s="40"/>
      <c r="W25" s="40"/>
      <c r="X25" s="40"/>
      <c r="Y25" s="40"/>
      <c r="Z25" s="40"/>
      <c r="AA25" s="40" t="e">
        <f>+S24+W24+AA24</f>
        <v>#REF!</v>
      </c>
      <c r="AB25" s="41"/>
      <c r="AC25" s="40"/>
    </row>
    <row r="26" spans="1:33" ht="30" hidden="1" customHeight="1" x14ac:dyDescent="0.35">
      <c r="H26" s="427"/>
      <c r="I26" s="45" t="s">
        <v>110</v>
      </c>
      <c r="J26" s="46"/>
      <c r="K26" s="47"/>
      <c r="L26" s="47"/>
      <c r="M26" s="47"/>
      <c r="N26" s="47"/>
      <c r="O26" s="47"/>
      <c r="P26" s="48"/>
      <c r="Q26" s="47"/>
      <c r="R26" s="47"/>
      <c r="S26" s="49"/>
      <c r="T26" s="50"/>
      <c r="U26" s="50"/>
      <c r="V26" s="50"/>
      <c r="W26" s="50"/>
      <c r="X26" s="50"/>
      <c r="Y26" s="50"/>
      <c r="Z26" s="50"/>
      <c r="AA26" s="50" t="e">
        <f>+O25+AA25</f>
        <v>#REF!</v>
      </c>
      <c r="AB26" s="51"/>
      <c r="AC26" s="50"/>
    </row>
    <row r="27" spans="1:33" ht="30" hidden="1" customHeight="1" x14ac:dyDescent="0.35">
      <c r="H27" s="425" t="s">
        <v>306</v>
      </c>
      <c r="I27" s="36" t="s">
        <v>111</v>
      </c>
      <c r="J27" s="52" t="e">
        <f>SUM(N27:AC27)</f>
        <v>#REF!</v>
      </c>
      <c r="K27" s="38"/>
      <c r="L27" s="38"/>
      <c r="M27" s="38"/>
      <c r="N27" s="38" t="e">
        <f>+(U15*$P$15)+(U17*$P$17)+(U19*$P$19)+(U21*$P$21)+(#REF!*#REF!)+(#REF!*#REF!)+(#REF!*#REF!)+(#REF!*#REF!)+(#REF!*#REF!)+(#REF!*#REF!)+(#REF!*#REF!)+(#REF!*#REF!)+(#REF!*#REF!)</f>
        <v>#REF!</v>
      </c>
      <c r="O27" s="38" t="e">
        <f>+(AB15*$P$15)+(AB17*$P$17)+(AB19*$P$19)+(AB21*$P$21)+(#REF!*#REF!)+(#REF!*#REF!)+(#REF!*#REF!)+(#REF!*#REF!)+(#REF!*#REF!)+(#REF!*#REF!)+(#REF!*#REF!)+(#REF!*#REF!)+(#REF!*#REF!)</f>
        <v>#REF!</v>
      </c>
      <c r="P27" s="39" t="e">
        <f>+(#REF!*$P$15)+(#REF!*$P$17)+(#REF!*$P$19)+(#REF!*$P$21)+(#REF!*#REF!)+(#REF!*#REF!)+(#REF!*#REF!)+(#REF!*#REF!)+(#REF!*#REF!)+(#REF!*#REF!)+(#REF!*#REF!)+(#REF!*#REF!)+(#REF!*#REF!)</f>
        <v>#REF!</v>
      </c>
      <c r="Q27" s="38" t="e">
        <f>+(#REF!*$P$15)+(#REF!*$P$17)+(#REF!*$P$19)+(#REF!*$P$21)+(#REF!*#REF!)+(#REF!*#REF!)+(#REF!*#REF!)+(#REF!*#REF!)+(#REF!*#REF!)+(#REF!*#REF!)+(#REF!*#REF!)+(#REF!*#REF!)+(#REF!*#REF!)</f>
        <v>#REF!</v>
      </c>
      <c r="R27" s="38" t="e">
        <f>+(#REF!*$P$15)+(#REF!*$P$17)+(#REF!*$P$19)+(#REF!*$P$21)+(#REF!*#REF!)+(#REF!*#REF!)+(#REF!*#REF!)+(#REF!*#REF!)+(#REF!*#REF!)+(#REF!*#REF!)+(#REF!*#REF!)+(#REF!*#REF!)+(#REF!*#REF!)</f>
        <v>#REF!</v>
      </c>
      <c r="S27" s="38" t="e">
        <f>+(#REF!*$P$15)+(#REF!*$P$17)+(#REF!*$P$19)+(#REF!*$P$21)+(#REF!*#REF!)+(#REF!*#REF!)+(#REF!*#REF!)+(#REF!*#REF!)+(#REF!*#REF!)+(#REF!*#REF!)+(#REF!*#REF!)+(#REF!*#REF!)+(#REF!*#REF!)</f>
        <v>#REF!</v>
      </c>
      <c r="T27" s="38" t="e">
        <f>+(#REF!*$P$15)+(#REF!*$P$17)+(#REF!*$P$19)+(#REF!*$P$21)+(#REF!*#REF!)+(#REF!*#REF!)+(#REF!*#REF!)+(#REF!*#REF!)+(#REF!*#REF!)+(#REF!*#REF!)+(#REF!*#REF!)+(#REF!*#REF!)+(#REF!*#REF!)</f>
        <v>#REF!</v>
      </c>
      <c r="U27" s="38" t="e">
        <f>+(#REF!*$P$15)+(#REF!*$P$17)+(#REF!*$P$19)+(#REF!*$P$21)+(#REF!*#REF!)+(#REF!*#REF!)+(#REF!*#REF!)+(#REF!*#REF!)+(#REF!*#REF!)+(#REF!*#REF!)+(#REF!*#REF!)+(#REF!*#REF!)+(#REF!*#REF!)</f>
        <v>#REF!</v>
      </c>
      <c r="V27" s="38" t="e">
        <f>+(#REF!*$P$15)+(#REF!*$P$17)+(#REF!*$P$19)+(#REF!*$P$21)+(#REF!*#REF!)+(#REF!*#REF!)+(#REF!*#REF!)+(#REF!*#REF!)+(#REF!*#REF!)+(#REF!*#REF!)+(#REF!*#REF!)+(#REF!*#REF!)+(#REF!*#REF!)</f>
        <v>#REF!</v>
      </c>
      <c r="W27" s="38" t="e">
        <f>+(#REF!*$P$15)+(#REF!*$P$17)+(#REF!*$P$19)+(#REF!*$P$21)+(#REF!*#REF!)+(#REF!*#REF!)+(#REF!*#REF!)+(#REF!*#REF!)+(#REF!*#REF!)+(#REF!*#REF!)+(#REF!*#REF!)+(#REF!*#REF!)+(#REF!*#REF!)</f>
        <v>#REF!</v>
      </c>
      <c r="X27" s="38" t="e">
        <f>+(#REF!*$P$15)+(#REF!*$P$17)+(#REF!*$P$19)+(#REF!*$P$21)+(#REF!*#REF!)+(#REF!*#REF!)+(#REF!*#REF!)+(#REF!*#REF!)+(#REF!*#REF!)+(#REF!*#REF!)+(#REF!*#REF!)+(#REF!*#REF!)+(#REF!*#REF!)</f>
        <v>#REF!</v>
      </c>
      <c r="Y27" s="38" t="e">
        <f>+(#REF!*$P$15)+(#REF!*$P$17)+(#REF!*$P$19)+(#REF!*$P$21)+(#REF!*#REF!)+(#REF!*#REF!)+(#REF!*#REF!)+(#REF!*#REF!)+(#REF!*#REF!)+(#REF!*#REF!)+(#REF!*#REF!)+(#REF!*#REF!)+(#REF!*#REF!)</f>
        <v>#REF!</v>
      </c>
      <c r="Z27" s="38" t="e">
        <f>+(#REF!*$P$15)+(#REF!*$P$17)+(#REF!*$P$19)+(#REF!*$P$21)+(#REF!*#REF!)+(#REF!*#REF!)+(#REF!*#REF!)+(#REF!*#REF!)+(#REF!*#REF!)+(#REF!*#REF!)+(#REF!*#REF!)+(#REF!*#REF!)+(#REF!*#REF!)</f>
        <v>#REF!</v>
      </c>
      <c r="AA27" s="38" t="e">
        <f>+(#REF!*$P$15)+(#REF!*$P$17)+(#REF!*$P$19)+(#REF!*$P$21)+(#REF!*#REF!)+(#REF!*#REF!)+(#REF!*#REF!)+(#REF!*#REF!)+(#REF!*#REF!)+(#REF!*#REF!)+(#REF!*#REF!)+(#REF!*#REF!)+(#REF!*#REF!)</f>
        <v>#REF!</v>
      </c>
      <c r="AB27" s="39" t="e">
        <f>+(#REF!*$P$15)+(#REF!*$P$17)+(#REF!*$P$19)+(#REF!*$P$21)+(#REF!*#REF!)+(#REF!*#REF!)+(#REF!*#REF!)+(#REF!*#REF!)+(#REF!*#REF!)+(#REF!*#REF!)+(#REF!*#REF!)+(#REF!*#REF!)+(#REF!*#REF!)</f>
        <v>#REF!</v>
      </c>
      <c r="AC27" s="38" t="e">
        <f>+(#REF!*$P$15)+(#REF!*$P$17)+(#REF!*$P$19)+(#REF!*$P$21)+(#REF!*#REF!)+(#REF!*#REF!)+(#REF!*#REF!)+(#REF!*#REF!)+(#REF!*#REF!)+(#REF!*#REF!)+(#REF!*#REF!)+(#REF!*#REF!)+(#REF!*#REF!)</f>
        <v>#REF!</v>
      </c>
    </row>
    <row r="28" spans="1:33" ht="30" hidden="1" customHeight="1" x14ac:dyDescent="0.35">
      <c r="H28" s="426"/>
      <c r="I28" s="36" t="s">
        <v>112</v>
      </c>
      <c r="J28" s="53"/>
      <c r="K28" s="38"/>
      <c r="L28" s="38"/>
      <c r="M28" s="38"/>
      <c r="N28" s="38"/>
      <c r="O28" s="38" t="e">
        <f>SUM(O27:O27)</f>
        <v>#REF!</v>
      </c>
      <c r="P28" s="39"/>
      <c r="Q28" s="38"/>
      <c r="R28" s="38"/>
      <c r="S28" s="38" t="e">
        <f>SUM(P27:S27)</f>
        <v>#REF!</v>
      </c>
      <c r="T28" s="38"/>
      <c r="U28" s="38"/>
      <c r="V28" s="38"/>
      <c r="W28" s="38" t="e">
        <f>SUM(T27:W27)</f>
        <v>#REF!</v>
      </c>
      <c r="X28" s="38"/>
      <c r="Y28" s="38"/>
      <c r="Z28" s="38"/>
      <c r="AA28" s="38" t="e">
        <f>SUM(X27:AA27)</f>
        <v>#REF!</v>
      </c>
      <c r="AB28" s="39"/>
      <c r="AC28" s="38"/>
    </row>
    <row r="29" spans="1:33" ht="30" hidden="1" customHeight="1" x14ac:dyDescent="0.35">
      <c r="H29" s="426"/>
      <c r="I29" s="36" t="s">
        <v>113</v>
      </c>
      <c r="J29" s="43"/>
      <c r="K29" s="38"/>
      <c r="L29" s="38"/>
      <c r="M29" s="38"/>
      <c r="N29" s="38"/>
      <c r="O29" s="38" t="e">
        <f>+#REF!+O28</f>
        <v>#REF!</v>
      </c>
      <c r="P29" s="39"/>
      <c r="Q29" s="38"/>
      <c r="R29" s="38"/>
      <c r="S29" s="44"/>
      <c r="T29" s="40"/>
      <c r="U29" s="40"/>
      <c r="V29" s="40"/>
      <c r="W29" s="40"/>
      <c r="X29" s="40"/>
      <c r="Y29" s="40"/>
      <c r="Z29" s="40"/>
      <c r="AA29" s="40" t="e">
        <f>+S28+W28+AA28</f>
        <v>#REF!</v>
      </c>
      <c r="AB29" s="41"/>
      <c r="AC29" s="40"/>
    </row>
    <row r="30" spans="1:33" ht="30" hidden="1" customHeight="1" x14ac:dyDescent="0.35">
      <c r="H30" s="427"/>
      <c r="I30" s="54" t="s">
        <v>114</v>
      </c>
      <c r="J30" s="46"/>
      <c r="K30" s="47"/>
      <c r="L30" s="47"/>
      <c r="M30" s="47"/>
      <c r="N30" s="47"/>
      <c r="O30" s="47"/>
      <c r="P30" s="48"/>
      <c r="Q30" s="47"/>
      <c r="R30" s="47"/>
      <c r="S30" s="49"/>
      <c r="T30" s="50"/>
      <c r="U30" s="50"/>
      <c r="V30" s="50"/>
      <c r="W30" s="50"/>
      <c r="X30" s="50"/>
      <c r="Y30" s="50"/>
      <c r="Z30" s="50"/>
      <c r="AA30" s="50" t="e">
        <f>+O29+AA29</f>
        <v>#REF!</v>
      </c>
      <c r="AB30" s="51"/>
      <c r="AC30" s="55"/>
    </row>
    <row r="31" spans="1:33" ht="30" hidden="1" customHeight="1" x14ac:dyDescent="0.35">
      <c r="H31" s="79"/>
      <c r="I31" s="265" t="s">
        <v>115</v>
      </c>
      <c r="J31" s="265"/>
      <c r="K31" s="56"/>
      <c r="L31" s="56"/>
      <c r="M31" s="56"/>
      <c r="N31" s="56" t="e">
        <f>+N23/N27</f>
        <v>#REF!</v>
      </c>
      <c r="O31" s="57" t="e">
        <f>+(N23+#REF!+#REF!+#REF!+#REF!+#REF!+#REF!+O23)/(N27+#REF!+#REF!+#REF!+#REF!+#REF!+#REF!+O27)</f>
        <v>#REF!</v>
      </c>
      <c r="P31" s="58" t="e">
        <f>+(N23+#REF!+#REF!+#REF!+#REF!+#REF!+#REF!+O23+P23)/(N27+#REF!+#REF!+#REF!+#REF!+#REF!+#REF!+O27+P27)</f>
        <v>#REF!</v>
      </c>
      <c r="Q31" s="56" t="e">
        <f>+(N23+#REF!+#REF!+#REF!+#REF!+#REF!+#REF!+O23+P23+Q23)/(N27+#REF!+#REF!+#REF!+#REF!+#REF!+#REF!+O27+P27+Q27)</f>
        <v>#REF!</v>
      </c>
      <c r="R31" s="56" t="e">
        <f>+(N23+#REF!+#REF!+#REF!+#REF!+#REF!+#REF!+O23+P23+Q23+R23)/(N27+#REF!+#REF!+#REF!+#REF!+#REF!+#REF!+O27+P27+Q27+R27)</f>
        <v>#REF!</v>
      </c>
      <c r="S31" s="57" t="e">
        <f>+(N23+#REF!+#REF!+#REF!+#REF!+#REF!+#REF!+O23+P23+Q23+R23+S23)/(N27+#REF!+#REF!+#REF!+#REF!+#REF!+#REF!+O27+P27+Q27+R27+S27)</f>
        <v>#REF!</v>
      </c>
      <c r="T31" s="56" t="e">
        <f>+(N23+#REF!+#REF!+#REF!+#REF!+#REF!+#REF!+O23+P23+Q23+R23+S23+T23)/(N27+#REF!+#REF!+#REF!+#REF!+#REF!+#REF!+O27+P27+Q27+R27+S27+T27)</f>
        <v>#REF!</v>
      </c>
      <c r="U31" s="56" t="e">
        <f>+(N23+#REF!+#REF!+#REF!+#REF!+#REF!+#REF!+O23+P23+Q23+R23+S23+T23+U23)/(N27+#REF!+#REF!+#REF!+#REF!+#REF!+#REF!+O27+P27+Q27+R27+S27+T27+U27)</f>
        <v>#REF!</v>
      </c>
      <c r="V31" s="56" t="e">
        <f>+(N23+#REF!+#REF!+#REF!+#REF!+#REF!+#REF!+O23+P23+Q23+R23+S23+T23+U23+V23)/(N27+#REF!+#REF!+#REF!+#REF!+#REF!+#REF!+O27+P27+Q27+R27+S27+T27+U27+V27)</f>
        <v>#REF!</v>
      </c>
      <c r="W31" s="57" t="e">
        <f>+(N23+#REF!+#REF!+#REF!+#REF!+#REF!+#REF!+O23+P23+Q23+R23+S23+T23+U23+V23+W23)/(N27+#REF!+#REF!+#REF!+#REF!+#REF!+#REF!+O27+P27+Q27+R27+S27+T27+U27+V27+W27)</f>
        <v>#REF!</v>
      </c>
      <c r="X31" s="56" t="e">
        <f>+(N23+#REF!+#REF!+#REF!+#REF!+#REF!+#REF!+O23+P23+Q23+R23+S23+T23+U23+V23+W23+X23)/(N27+#REF!+#REF!+#REF!+#REF!+#REF!+#REF!+O27+P27+Q27+R27+S27+T27+U27+V27+W27+X27)</f>
        <v>#REF!</v>
      </c>
      <c r="Y31" s="56" t="e">
        <f>+(N23+#REF!+#REF!+#REF!+#REF!+#REF!+#REF!+O23+P23+Q23+R23+S23+T23+U23+V23+W23+X23+Y23)/(N27+#REF!+#REF!+#REF!+#REF!+#REF!+#REF!+O27+P27+Q27+R27+S27+T27+U27+V27+W27+X27+Y27)</f>
        <v>#REF!</v>
      </c>
      <c r="Z31" s="56" t="e">
        <f>+(N23+#REF!+#REF!+#REF!+#REF!+#REF!+#REF!+O23+P23+Q23+R23+S23+T23+U23+V23+W23+X23+Y23+Z23)/(N27+#REF!+#REF!+#REF!+#REF!+#REF!+#REF!+O27+P27+Q27+R27+S27+T27+U27+V27+W27+X27+Y27+Z27)</f>
        <v>#REF!</v>
      </c>
      <c r="AA31" s="57" t="e">
        <f>+(N23+#REF!+#REF!+#REF!+#REF!+#REF!+#REF!+O23+P23+Q23+R23+S23+T23+U23+V23+W23+X23+Y23+Z23+AA23)/(N27+#REF!+#REF!+#REF!+#REF!+#REF!+#REF!+O27+P27+Q27+R27+S27+T27+U27+V27+W27+X27+Y27+Z27+AA27)</f>
        <v>#REF!</v>
      </c>
      <c r="AB31" s="58" t="e">
        <f>+(N23+#REF!+#REF!+#REF!+#REF!+#REF!+#REF!+O23+P23+Q23+R23+S23+T23+U23+V23+W23+X23+Y23+Z23+AA23+AB23)/(N27+#REF!+#REF!+#REF!+#REF!+#REF!+#REF!+O27+P27+Q27+R27+S27+T27+U27+V27+W27+X27+Y27+Z27+AA27+AB27)</f>
        <v>#REF!</v>
      </c>
      <c r="AC31" s="56" t="e">
        <f>+(N23+#REF!+#REF!+#REF!+#REF!+#REF!+#REF!+O23+P23+Q23+R23+S23+T23+U23+V23+W23+X23+Y23+Z23+AA23+AB23+AC23)/(N27+#REF!+#REF!+#REF!+#REF!+#REF!+#REF!+O27+P27+Q27+R27+S27+T27+U27+V27+W27+X27+Y27+Z27+AA27+AB27+AC27)</f>
        <v>#REF!</v>
      </c>
    </row>
    <row r="32" spans="1:33" ht="30" hidden="1" customHeight="1" x14ac:dyDescent="0.35">
      <c r="H32" s="79"/>
      <c r="I32" s="266" t="s">
        <v>116</v>
      </c>
      <c r="J32" s="266"/>
      <c r="K32" s="57"/>
      <c r="L32" s="57"/>
      <c r="M32" s="57"/>
      <c r="N32" s="57" t="e">
        <f>+N23/$F$23</f>
        <v>#REF!</v>
      </c>
      <c r="O32" s="57" t="e">
        <f>+(N23+#REF!+#REF!+#REF!+#REF!+#REF!+#REF!+O23)/$F$23</f>
        <v>#REF!</v>
      </c>
      <c r="P32" s="60" t="e">
        <f>+(N23+#REF!+#REF!+#REF!+#REF!+#REF!+#REF!+O23+P23)/$F$23</f>
        <v>#REF!</v>
      </c>
      <c r="Q32" s="57" t="e">
        <f>+(N23+#REF!+#REF!+#REF!+#REF!+#REF!+#REF!+O23+P23+Q23)/$F$23</f>
        <v>#REF!</v>
      </c>
      <c r="R32" s="57" t="e">
        <f>+(N23+#REF!+#REF!+#REF!+#REF!+#REF!+#REF!+O23+P23+Q23+R23)/$F$23</f>
        <v>#REF!</v>
      </c>
      <c r="S32" s="57" t="e">
        <f>+(N23+#REF!+#REF!+#REF!+#REF!+#REF!+#REF!+O23+P23+Q23+R23+S23)/$F$23</f>
        <v>#REF!</v>
      </c>
      <c r="T32" s="57" t="e">
        <f>+(N23+#REF!+#REF!+#REF!+#REF!+#REF!+#REF!+O23+P23+Q23+R23+S23+T23)/$F$23</f>
        <v>#REF!</v>
      </c>
      <c r="U32" s="57" t="e">
        <f>+(N23+#REF!+#REF!+#REF!+#REF!+#REF!+#REF!+O23+P23+Q23+R23+S23+T23+U23)/$F$23</f>
        <v>#REF!</v>
      </c>
      <c r="V32" s="57" t="e">
        <f>+(N23+#REF!+#REF!+#REF!+#REF!+#REF!+#REF!+O23+P23+Q23+R23+S23+T23+U23+V23)/$F$23</f>
        <v>#REF!</v>
      </c>
      <c r="W32" s="57" t="e">
        <f>+(N23+#REF!+#REF!+#REF!+#REF!+#REF!+#REF!+O23+P23+Q23+R23+S23+T23+U23+V23+W23)/$F$23</f>
        <v>#REF!</v>
      </c>
      <c r="X32" s="57" t="e">
        <f>+(N23+#REF!+#REF!+#REF!+#REF!+#REF!+#REF!+O23+P23+Q23+R23+S23+T23+U23+V23+W23+X23)/$F$23</f>
        <v>#REF!</v>
      </c>
      <c r="Y32" s="57" t="e">
        <f>+(N23+#REF!+#REF!+#REF!+#REF!+#REF!+#REF!+O23+P23+Q23+R23+S23+T23+U23+V23+W23+X23+Y23)/$F$23</f>
        <v>#REF!</v>
      </c>
      <c r="Z32" s="57" t="e">
        <f>+(N23+#REF!+#REF!+#REF!+#REF!+#REF!+#REF!+O23+P23+Q23+R23+S23+T23+U23+V23+W23+X23+Y23+Z23)/$F$23</f>
        <v>#REF!</v>
      </c>
      <c r="AA32" s="57" t="e">
        <f>+(N23+#REF!+#REF!+#REF!+#REF!+#REF!+#REF!+O23+P23+Q23+R23+S23+T23+U23+V23+W23+X23+Y23+Z23+AA23)/$F$23</f>
        <v>#REF!</v>
      </c>
      <c r="AB32" s="60" t="e">
        <f>+(N23+#REF!+#REF!+#REF!+#REF!+#REF!+#REF!+O23+P23+Q23+R23+S23+T23+U23+V23+W23+X23+Y23+Z23+AA23+AB23)/$F$23</f>
        <v>#REF!</v>
      </c>
      <c r="AC32" s="57" t="e">
        <f>+(N23+#REF!+#REF!+#REF!+#REF!+#REF!+#REF!+O23+P23+Q23+R23+S23+T23+U23+V23+W23+X23+Y23+Z23+AA23+AB23+AC23)/$F$23</f>
        <v>#REF!</v>
      </c>
    </row>
    <row r="33" spans="8:29" ht="30" hidden="1" customHeight="1" x14ac:dyDescent="0.35">
      <c r="I33" s="265" t="s">
        <v>117</v>
      </c>
      <c r="J33" s="265"/>
      <c r="K33" s="62"/>
      <c r="L33" s="62"/>
      <c r="M33" s="62"/>
      <c r="N33" s="62"/>
      <c r="O33" s="57" t="e">
        <f>+O24/O28</f>
        <v>#REF!</v>
      </c>
      <c r="P33" s="63"/>
      <c r="Q33" s="62"/>
      <c r="R33" s="62"/>
      <c r="S33" s="57" t="e">
        <f>+S24/S28</f>
        <v>#REF!</v>
      </c>
      <c r="T33" s="62"/>
      <c r="U33" s="62"/>
      <c r="V33" s="62"/>
      <c r="W33" s="57" t="e">
        <f>+W24/W28</f>
        <v>#REF!</v>
      </c>
      <c r="X33" s="62"/>
      <c r="Y33" s="62"/>
      <c r="Z33" s="62"/>
      <c r="AA33" s="57" t="e">
        <f>+AA24/AA28</f>
        <v>#REF!</v>
      </c>
      <c r="AB33" s="63"/>
      <c r="AC33" s="62"/>
    </row>
    <row r="34" spans="8:29" ht="30" hidden="1" customHeight="1" x14ac:dyDescent="0.35">
      <c r="I34" s="266" t="s">
        <v>118</v>
      </c>
      <c r="J34" s="266"/>
      <c r="K34" s="62"/>
      <c r="L34" s="62"/>
      <c r="M34" s="62"/>
      <c r="N34" s="62"/>
      <c r="O34" s="57" t="e">
        <f>+(#REF!+O24)/$F$23</f>
        <v>#REF!</v>
      </c>
      <c r="P34" s="63"/>
      <c r="Q34" s="62"/>
      <c r="R34" s="62"/>
      <c r="S34" s="57" t="e">
        <f>+(#REF!+O24+S24)/$F$23</f>
        <v>#REF!</v>
      </c>
      <c r="T34" s="62"/>
      <c r="U34" s="62"/>
      <c r="V34" s="62"/>
      <c r="W34" s="57" t="e">
        <f>+(#REF!+O24+S24+W24)/$F$23</f>
        <v>#REF!</v>
      </c>
      <c r="X34" s="62"/>
      <c r="Y34" s="62"/>
      <c r="Z34" s="62"/>
      <c r="AA34" s="57" t="e">
        <f>+(#REF!+O24+S24+W24+AA24)/$F$23</f>
        <v>#REF!</v>
      </c>
      <c r="AB34" s="63"/>
      <c r="AC34" s="62"/>
    </row>
    <row r="35" spans="8:29" ht="30" hidden="1" customHeight="1" x14ac:dyDescent="0.35">
      <c r="I35" s="265" t="s">
        <v>119</v>
      </c>
      <c r="J35" s="265"/>
      <c r="K35" s="62"/>
      <c r="L35" s="62"/>
      <c r="M35" s="62"/>
      <c r="N35" s="62"/>
      <c r="O35" s="57" t="e">
        <f>+(#REF!+O24)/(#REF!+O28)</f>
        <v>#REF!</v>
      </c>
      <c r="P35" s="63"/>
      <c r="Q35" s="62"/>
      <c r="R35" s="62"/>
      <c r="S35" s="62"/>
      <c r="T35" s="62"/>
      <c r="U35" s="62"/>
      <c r="V35" s="62"/>
      <c r="W35" s="62"/>
      <c r="X35" s="62"/>
      <c r="Y35" s="62"/>
      <c r="Z35" s="62"/>
      <c r="AA35" s="57" t="e">
        <f>+(#REF!+O24+S24+W24+AA24)/(#REF!+O28+S28+W28+AA28)</f>
        <v>#REF!</v>
      </c>
      <c r="AB35" s="63"/>
      <c r="AC35" s="62"/>
    </row>
    <row r="36" spans="8:29" ht="30" hidden="1" customHeight="1" x14ac:dyDescent="0.35">
      <c r="I36" s="265" t="s">
        <v>120</v>
      </c>
      <c r="J36" s="265"/>
      <c r="K36" s="62"/>
      <c r="L36" s="62"/>
      <c r="M36" s="62"/>
      <c r="N36" s="62"/>
      <c r="O36" s="57" t="e">
        <f>+(#REF!+O24)/$F$23</f>
        <v>#REF!</v>
      </c>
      <c r="P36" s="63"/>
      <c r="Q36" s="62"/>
      <c r="R36" s="62"/>
      <c r="S36" s="62"/>
      <c r="T36" s="62"/>
      <c r="U36" s="62"/>
      <c r="V36" s="62"/>
      <c r="W36" s="62"/>
      <c r="X36" s="62"/>
      <c r="Y36" s="62"/>
      <c r="Z36" s="62"/>
      <c r="AA36" s="57" t="e">
        <f>+(+#REF!+O24+S24+W24+AA24)/$F$23</f>
        <v>#REF!</v>
      </c>
      <c r="AB36" s="63"/>
      <c r="AC36" s="62"/>
    </row>
    <row r="37" spans="8:29" ht="15" hidden="1" customHeight="1" x14ac:dyDescent="0.35"/>
    <row r="38" spans="8:29" ht="35.15" hidden="1" customHeight="1" x14ac:dyDescent="0.35">
      <c r="H38" s="424" t="s">
        <v>307</v>
      </c>
      <c r="I38" s="424"/>
      <c r="J38" s="66" t="e">
        <f>+#REF!</f>
        <v>#REF!</v>
      </c>
      <c r="K38" s="67"/>
      <c r="L38" s="67"/>
      <c r="M38" s="67"/>
      <c r="N38" s="67"/>
    </row>
    <row r="39" spans="8:29" ht="35.15" hidden="1" customHeight="1" x14ac:dyDescent="0.35">
      <c r="H39" s="424" t="s">
        <v>308</v>
      </c>
      <c r="I39" s="424"/>
      <c r="J39" s="68">
        <f>+F23</f>
        <v>1</v>
      </c>
      <c r="K39" s="67"/>
      <c r="L39" s="67"/>
      <c r="M39" s="67"/>
      <c r="N39" s="67"/>
    </row>
    <row r="40" spans="8:29" ht="35.15" hidden="1" customHeight="1" x14ac:dyDescent="0.35">
      <c r="H40" s="424" t="s">
        <v>309</v>
      </c>
      <c r="I40" s="424"/>
      <c r="J40" s="69" t="e">
        <f>+J38/J39</f>
        <v>#REF!</v>
      </c>
      <c r="K40" s="67"/>
      <c r="L40" s="67"/>
      <c r="M40" s="67"/>
      <c r="N40" s="67"/>
    </row>
    <row r="41" spans="8:29" ht="15" customHeight="1" x14ac:dyDescent="0.35">
      <c r="K41" s="67"/>
      <c r="L41" s="67"/>
      <c r="M41" s="67"/>
      <c r="N41" s="67"/>
    </row>
    <row r="42" spans="8:29" ht="15" customHeight="1" x14ac:dyDescent="0.35">
      <c r="K42" s="67"/>
      <c r="L42" s="67"/>
      <c r="M42" s="67"/>
      <c r="N42" s="67"/>
    </row>
    <row r="43" spans="8:29" ht="15" customHeight="1" x14ac:dyDescent="0.35">
      <c r="K43" s="67"/>
      <c r="L43" s="67"/>
      <c r="M43" s="67"/>
      <c r="N43" s="67"/>
    </row>
  </sheetData>
  <sheetProtection algorithmName="SHA-512" hashValue="DbLVAo1YjB7/pVhduHdz4WREZ9RSYDMyUkxygA/+c+r2hejoYJ9DzMIjenhVr2YRCTKfIukmBpB+hyHuJeDyJw==" saltValue="SG0DfLin2cJ9y2ZnBWSiMQ==" spinCount="100000" sheet="1" formatCells="0" formatColumns="0" formatRows="0" insertColumns="0" insertRows="0" insertHyperlinks="0" deleteColumns="0" deleteRows="0" sort="0" autoFilter="0" pivotTables="0"/>
  <protectedRanges>
    <protectedRange sqref="AD14:AG21 R20:AC20 R18:AC18 R16:AC16 R14:AC14" name="Rango1"/>
  </protectedRanges>
  <mergeCells count="143">
    <mergeCell ref="K6:K10"/>
    <mergeCell ref="L6:L10"/>
    <mergeCell ref="M6:N10"/>
    <mergeCell ref="O6:Q10"/>
    <mergeCell ref="R6:U10"/>
    <mergeCell ref="V6:Y10"/>
    <mergeCell ref="A1:C3"/>
    <mergeCell ref="D1:AG3"/>
    <mergeCell ref="A4:A5"/>
    <mergeCell ref="G4:G5"/>
    <mergeCell ref="A6:B10"/>
    <mergeCell ref="C6:D10"/>
    <mergeCell ref="E6:F10"/>
    <mergeCell ref="G6:G10"/>
    <mergeCell ref="H6:I10"/>
    <mergeCell ref="J6:J10"/>
    <mergeCell ref="AF6:AF10"/>
    <mergeCell ref="AG6:AG10"/>
    <mergeCell ref="A12:A13"/>
    <mergeCell ref="B12:B13"/>
    <mergeCell ref="C12:C13"/>
    <mergeCell ref="D12:D13"/>
    <mergeCell ref="E12:E13"/>
    <mergeCell ref="F12:F13"/>
    <mergeCell ref="Z6:AC10"/>
    <mergeCell ref="AD6:AD10"/>
    <mergeCell ref="AE6:AE10"/>
    <mergeCell ref="O12:O13"/>
    <mergeCell ref="P12:P13"/>
    <mergeCell ref="Q12:Q13"/>
    <mergeCell ref="R12:R13"/>
    <mergeCell ref="G12:G13"/>
    <mergeCell ref="H12:H13"/>
    <mergeCell ref="I12:I13"/>
    <mergeCell ref="J12:J13"/>
    <mergeCell ref="K12:K13"/>
    <mergeCell ref="L12:L13"/>
    <mergeCell ref="AE12:AE13"/>
    <mergeCell ref="A11:F11"/>
    <mergeCell ref="G11:N11"/>
    <mergeCell ref="O11:AC11"/>
    <mergeCell ref="AD11:AG11"/>
    <mergeCell ref="AF12:AF13"/>
    <mergeCell ref="AG12:AG13"/>
    <mergeCell ref="A14:A15"/>
    <mergeCell ref="B14:B15"/>
    <mergeCell ref="C14:C15"/>
    <mergeCell ref="D14:D15"/>
    <mergeCell ref="E14:E15"/>
    <mergeCell ref="F14:F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E14:AE15"/>
    <mergeCell ref="AF14:AF15"/>
    <mergeCell ref="AG14:AG15"/>
    <mergeCell ref="G14:G15"/>
    <mergeCell ref="H14:H15"/>
    <mergeCell ref="I14:I15"/>
    <mergeCell ref="J14:J15"/>
    <mergeCell ref="K14:K15"/>
    <mergeCell ref="L14:L15"/>
    <mergeCell ref="A16:A17"/>
    <mergeCell ref="B16:B17"/>
    <mergeCell ref="C16:C17"/>
    <mergeCell ref="D16:D17"/>
    <mergeCell ref="E16:E17"/>
    <mergeCell ref="F16:F17"/>
    <mergeCell ref="M14:M15"/>
    <mergeCell ref="N14:N15"/>
    <mergeCell ref="AD14:AD15"/>
    <mergeCell ref="M16:M17"/>
    <mergeCell ref="N16:N17"/>
    <mergeCell ref="AD16:AD17"/>
    <mergeCell ref="AE16:AE17"/>
    <mergeCell ref="AF16:AF17"/>
    <mergeCell ref="AG16:AG17"/>
    <mergeCell ref="G16:G17"/>
    <mergeCell ref="H16:H17"/>
    <mergeCell ref="I16:I17"/>
    <mergeCell ref="J16:J17"/>
    <mergeCell ref="K16:K17"/>
    <mergeCell ref="L16:L17"/>
    <mergeCell ref="AE18:AE19"/>
    <mergeCell ref="AF18:AF19"/>
    <mergeCell ref="AG18:AG19"/>
    <mergeCell ref="G18:G19"/>
    <mergeCell ref="H18:H19"/>
    <mergeCell ref="I18:I19"/>
    <mergeCell ref="J18:J19"/>
    <mergeCell ref="K18:K19"/>
    <mergeCell ref="L18:L19"/>
    <mergeCell ref="A20:A21"/>
    <mergeCell ref="B20:B21"/>
    <mergeCell ref="C20:C21"/>
    <mergeCell ref="D20:D21"/>
    <mergeCell ref="E20:E21"/>
    <mergeCell ref="F20:F21"/>
    <mergeCell ref="M18:M19"/>
    <mergeCell ref="N18:N19"/>
    <mergeCell ref="AD18:AD19"/>
    <mergeCell ref="A18:A19"/>
    <mergeCell ref="B18:B19"/>
    <mergeCell ref="C18:C19"/>
    <mergeCell ref="D18:D19"/>
    <mergeCell ref="E18:E19"/>
    <mergeCell ref="F18:F19"/>
    <mergeCell ref="M20:M21"/>
    <mergeCell ref="N20:N21"/>
    <mergeCell ref="AD20:AD21"/>
    <mergeCell ref="AE20:AE21"/>
    <mergeCell ref="AF20:AF21"/>
    <mergeCell ref="AG20:AG21"/>
    <mergeCell ref="G20:G21"/>
    <mergeCell ref="H20:H21"/>
    <mergeCell ref="I20:I21"/>
    <mergeCell ref="J20:J21"/>
    <mergeCell ref="K20:K21"/>
    <mergeCell ref="L20:L21"/>
    <mergeCell ref="H40:I40"/>
    <mergeCell ref="I33:J33"/>
    <mergeCell ref="I34:J34"/>
    <mergeCell ref="I35:J35"/>
    <mergeCell ref="I36:J36"/>
    <mergeCell ref="H38:I38"/>
    <mergeCell ref="H39:I39"/>
    <mergeCell ref="D23:E23"/>
    <mergeCell ref="H23:H26"/>
    <mergeCell ref="D24:E24"/>
    <mergeCell ref="H27:H30"/>
    <mergeCell ref="I31:J31"/>
    <mergeCell ref="I32:J32"/>
  </mergeCells>
  <conditionalFormatting sqref="I4">
    <cfRule type="cellIs" dxfId="18" priority="16" operator="lessThanOrEqual">
      <formula>$C$4</formula>
    </cfRule>
  </conditionalFormatting>
  <conditionalFormatting sqref="J6 Q14:Q21">
    <cfRule type="cellIs" dxfId="17" priority="17" operator="greaterThanOrEqual">
      <formula>$C$5</formula>
    </cfRule>
    <cfRule type="cellIs" dxfId="16" priority="18" operator="lessThanOrEqual">
      <formula>$C$4</formula>
    </cfRule>
    <cfRule type="cellIs" dxfId="15" priority="19" operator="between">
      <formula>$C$5</formula>
      <formula>$C$4</formula>
    </cfRule>
  </conditionalFormatting>
  <conditionalFormatting sqref="O6">
    <cfRule type="cellIs" dxfId="14" priority="13" operator="greaterThanOrEqual">
      <formula>$I$5</formula>
    </cfRule>
    <cfRule type="cellIs" dxfId="13" priority="14" operator="lessThanOrEqual">
      <formula>$I$4</formula>
    </cfRule>
    <cfRule type="cellIs" dxfId="12" priority="15" operator="between">
      <formula>$I$5</formula>
      <formula>$I$4</formula>
    </cfRule>
  </conditionalFormatting>
  <conditionalFormatting sqref="S31:S34 W31:W34 O31:O36 AA31:AA36 K32:N32 P32:R32 T32:V32 X32:Z32 AB32:AC32 J40">
    <cfRule type="cellIs" dxfId="11" priority="20" operator="greaterThanOrEqual">
      <formula>$D$9</formula>
    </cfRule>
    <cfRule type="cellIs" dxfId="10" priority="21" operator="lessThanOrEqual">
      <formula>$C$6</formula>
    </cfRule>
    <cfRule type="cellIs" dxfId="9" priority="22" operator="between">
      <formula>$C$6</formula>
      <formula>$D$9</formula>
    </cfRule>
  </conditionalFormatting>
  <conditionalFormatting sqref="V6">
    <cfRule type="cellIs" dxfId="8" priority="10" operator="greaterThanOrEqual">
      <formula>$I$5</formula>
    </cfRule>
    <cfRule type="cellIs" dxfId="7" priority="11" operator="lessThanOrEqual">
      <formula>$I$4</formula>
    </cfRule>
    <cfRule type="cellIs" dxfId="6" priority="12" operator="between">
      <formula>$I$5</formula>
      <formula>$I$4</formula>
    </cfRule>
  </conditionalFormatting>
  <conditionalFormatting sqref="AD6">
    <cfRule type="cellIs" dxfId="5" priority="1" operator="greaterThanOrEqual">
      <formula>$I$5</formula>
    </cfRule>
    <cfRule type="cellIs" dxfId="4" priority="2" operator="lessThanOrEqual">
      <formula>$I$4</formula>
    </cfRule>
    <cfRule type="cellIs" dxfId="3" priority="3" operator="between">
      <formula>$I$5</formula>
      <formula>$I$4</formula>
    </cfRule>
  </conditionalFormatting>
  <conditionalFormatting sqref="AF6">
    <cfRule type="cellIs" dxfId="2" priority="4" operator="greaterThanOrEqual">
      <formula>$I$5</formula>
    </cfRule>
    <cfRule type="cellIs" dxfId="1" priority="5" operator="lessThanOrEqual">
      <formula>$I$4</formula>
    </cfRule>
    <cfRule type="cellIs" dxfId="0" priority="6" operator="between">
      <formula>$I$5</formula>
      <formula>$I$4</formula>
    </cfRule>
  </conditionalFormatting>
  <dataValidations count="10">
    <dataValidation type="list" allowBlank="1" showInputMessage="1" showErrorMessage="1" sqref="B14:B15" xr:uid="{FFFCCB98-9119-4ABF-9601-5E6EC49EEC20}">
      <formula1>$B$44:$B$51</formula1>
    </dataValidation>
    <dataValidation type="list" allowBlank="1" showInputMessage="1" showErrorMessage="1" sqref="C14:C15" xr:uid="{ABDA7944-903C-4034-B80E-5CE960019B58}">
      <formula1>$C$44:$C$53</formula1>
    </dataValidation>
    <dataValidation type="list" allowBlank="1" showInputMessage="1" showErrorMessage="1" sqref="D14:D21" xr:uid="{40E3001B-B6D2-4CE9-97BC-70E9262FDDBA}">
      <formula1>$D$44:$D$50</formula1>
    </dataValidation>
    <dataValidation type="list" allowBlank="1" showInputMessage="1" showErrorMessage="1" sqref="E14:E15" xr:uid="{8F697222-7361-4FE3-8515-11396162FAD3}">
      <formula1>$E$44:$E$62</formula1>
    </dataValidation>
    <dataValidation type="list" allowBlank="1" showInputMessage="1" showErrorMessage="1" sqref="F14:F15" xr:uid="{0D608202-3011-47E6-83A9-B82916E718D7}">
      <formula1>$G$44:$G$103</formula1>
    </dataValidation>
    <dataValidation type="list" allowBlank="1" showInputMessage="1" showErrorMessage="1" sqref="L14:L15" xr:uid="{17EAA0D0-ECE4-45D0-89E0-8FD95A85D8EB}">
      <formula1>$L$44:$L$46</formula1>
    </dataValidation>
    <dataValidation allowBlank="1" showErrorMessage="1" sqref="Q14:Q21" xr:uid="{31EE495C-F238-4DA3-B839-8B48BB067A08}"/>
    <dataValidation type="decimal" allowBlank="1" showInputMessage="1" showErrorMessage="1" prompt="campo calculado  - indica el % de avance  que aporta la activadad a todo el proyecto" sqref="P19 P17 P15 P21" xr:uid="{E619B430-F512-4A58-9BE2-3477C2146B54}">
      <formula1>0</formula1>
      <formula2>1</formula2>
    </dataValidation>
    <dataValidation type="decimal" allowBlank="1" showInputMessage="1" showErrorMessage="1" prompt="valor porcentual de la activida - Indique el peso porcentual de la actividad dentro del proyecto" sqref="P14 P18 P16 P20" xr:uid="{41A968AE-540F-497E-91A5-54A1C9D89D6A}">
      <formula1>0</formula1>
      <formula2>1</formula2>
    </dataValidation>
    <dataValidation type="decimal" allowBlank="1" showInputMessage="1" showErrorMessage="1" prompt="% de avance en la actividad - indique el % programado de avance durante esta semana_x000a_" sqref="R14:AC15 R21:AC21 R17:AC19 R20:AC20 R16:AC16" xr:uid="{268F8BB8-31F4-496B-A19F-37B97DA6556D}">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8F93-0FE7-4B06-AB0C-E52448F06684}">
  <dimension ref="A1:AG113"/>
  <sheetViews>
    <sheetView showGridLines="0" view="pageBreakPreview" zoomScale="60" zoomScaleNormal="10" zoomScalePageLayoutView="48" workbookViewId="0">
      <selection activeCell="C6" sqref="C6:D10"/>
    </sheetView>
  </sheetViews>
  <sheetFormatPr baseColWidth="10" defaultColWidth="12.54296875" defaultRowHeight="15" customHeight="1" x14ac:dyDescent="0.35"/>
  <cols>
    <col min="1" max="1" width="7.453125" style="13" customWidth="1"/>
    <col min="2" max="5" width="37.81640625" style="13" customWidth="1"/>
    <col min="6" max="6" width="37.81640625" style="13" hidden="1" customWidth="1"/>
    <col min="7" max="14" width="37.81640625" style="13" customWidth="1"/>
    <col min="15" max="15" width="16.1796875" style="13" customWidth="1"/>
    <col min="16" max="17" width="13.54296875" style="13" customWidth="1"/>
    <col min="18" max="29" width="9.54296875" style="13" customWidth="1"/>
    <col min="30" max="30" width="9.54296875" style="13" hidden="1" customWidth="1"/>
    <col min="31" max="33" width="40.453125" style="13" customWidth="1"/>
    <col min="34" max="16384" width="12.54296875" style="13"/>
  </cols>
  <sheetData>
    <row r="1" spans="1:33" s="5" customFormat="1" ht="14.15" customHeight="1" x14ac:dyDescent="0.35">
      <c r="A1" s="337"/>
      <c r="B1" s="338"/>
      <c r="C1" s="339"/>
      <c r="D1" s="346" t="s">
        <v>8</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row>
    <row r="3" spans="1:33"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row>
    <row r="4" spans="1:33" s="5" customFormat="1" ht="60" hidden="1" customHeight="1" thickBot="1" x14ac:dyDescent="0.4">
      <c r="A4" s="352" t="s">
        <v>9</v>
      </c>
      <c r="B4" s="8" t="s">
        <v>10</v>
      </c>
      <c r="C4" s="9">
        <v>0.7</v>
      </c>
      <c r="D4" s="9"/>
      <c r="E4" s="9"/>
      <c r="F4" s="6"/>
      <c r="G4" s="352" t="s">
        <v>11</v>
      </c>
      <c r="H4" s="9">
        <v>0.7</v>
      </c>
      <c r="I4" s="10"/>
      <c r="J4" s="11"/>
      <c r="K4" s="11"/>
      <c r="L4" s="11"/>
      <c r="M4" s="11"/>
      <c r="N4" s="11"/>
      <c r="O4" s="11"/>
      <c r="P4" s="11"/>
      <c r="Q4" s="11"/>
      <c r="R4" s="11"/>
      <c r="S4" s="11"/>
      <c r="T4" s="11"/>
      <c r="U4" s="11"/>
      <c r="V4" s="11"/>
      <c r="W4" s="11"/>
      <c r="X4" s="11"/>
      <c r="Y4" s="11"/>
      <c r="Z4" s="11"/>
      <c r="AA4" s="11"/>
      <c r="AB4" s="11"/>
      <c r="AC4" s="11"/>
      <c r="AD4" s="11"/>
      <c r="AE4" s="11"/>
      <c r="AF4" s="11"/>
    </row>
    <row r="5" spans="1:33" s="5" customFormat="1" ht="60" hidden="1" customHeight="1" x14ac:dyDescent="0.35">
      <c r="A5" s="352"/>
      <c r="B5" s="8" t="s">
        <v>12</v>
      </c>
      <c r="C5" s="12">
        <v>0.9</v>
      </c>
      <c r="D5" s="12"/>
      <c r="E5" s="12"/>
      <c r="F5" s="12">
        <v>1</v>
      </c>
      <c r="G5" s="352"/>
      <c r="H5" s="12">
        <v>0.95</v>
      </c>
      <c r="I5" s="10"/>
      <c r="J5" s="11"/>
      <c r="K5" s="11"/>
      <c r="L5" s="11"/>
      <c r="M5" s="11"/>
      <c r="N5" s="11"/>
      <c r="O5" s="11"/>
      <c r="P5" s="11"/>
      <c r="Q5" s="11"/>
      <c r="R5" s="11"/>
      <c r="S5" s="11"/>
      <c r="T5" s="11"/>
      <c r="U5" s="11"/>
      <c r="V5" s="11"/>
      <c r="W5" s="11"/>
      <c r="X5" s="11"/>
      <c r="Y5" s="11"/>
      <c r="Z5" s="11"/>
      <c r="AA5" s="11"/>
      <c r="AB5" s="11"/>
      <c r="AC5" s="11"/>
      <c r="AD5" s="11"/>
      <c r="AE5" s="11"/>
      <c r="AF5" s="11"/>
    </row>
    <row r="6" spans="1:33" ht="20.149999999999999" customHeight="1" x14ac:dyDescent="0.35">
      <c r="A6" s="353" t="s">
        <v>13</v>
      </c>
      <c r="B6" s="353"/>
      <c r="C6" s="354" t="s">
        <v>14</v>
      </c>
      <c r="D6" s="354"/>
      <c r="E6" s="353" t="s">
        <v>15</v>
      </c>
      <c r="F6" s="353"/>
      <c r="G6" s="355">
        <f>+P15+P17+P19+P21+P25+P27+P29+P31+P23</f>
        <v>1.0000000000000002</v>
      </c>
      <c r="H6" s="353" t="s">
        <v>16</v>
      </c>
      <c r="I6" s="358">
        <f>(P14+P16+P18+P20+P24+P26+P28+P30)/L6</f>
        <v>0</v>
      </c>
      <c r="J6" s="295" t="s">
        <v>17</v>
      </c>
      <c r="K6" s="297"/>
      <c r="L6" s="322">
        <v>1</v>
      </c>
      <c r="M6" s="295" t="s">
        <v>18</v>
      </c>
      <c r="N6" s="297"/>
      <c r="O6" s="304">
        <f>(SUM(R14:U14,R16:U16,R18:U18,R20:U20,R24:U24,R26:U26,R28:U28,R22:U22,R30:U30)/SUM(R15:U15,R17:U17,R19:U19,R21:U21,R25:U25,R27:U27,R23:U23,R29:U29,R31:U31))/L6</f>
        <v>0</v>
      </c>
      <c r="P6" s="325"/>
      <c r="Q6" s="305"/>
      <c r="R6" s="295" t="s">
        <v>19</v>
      </c>
      <c r="S6" s="296"/>
      <c r="T6" s="296"/>
      <c r="U6" s="297"/>
      <c r="V6" s="328">
        <f>SUM(V14:Y14,V16:Y16,V18:Y18,V20:Y20,V24:Y24,V26:Y26,V28:Y28,V22:Y22,V30:Y30)/SUM(V15:Y15,V17:Y17,V19:Y19,V21:Y21,V25:Y25,V27:Y27,V29:Y29,V23:Y23,V31:Y31)/L6</f>
        <v>0</v>
      </c>
      <c r="W6" s="329"/>
      <c r="X6" s="329"/>
      <c r="Y6" s="330"/>
      <c r="Z6" s="295" t="s">
        <v>20</v>
      </c>
      <c r="AA6" s="296"/>
      <c r="AB6" s="296"/>
      <c r="AC6" s="297"/>
      <c r="AD6" s="304">
        <f>SUM(Z14:AC14,Z16:AC16,Z18:AC18,Z20:AC20,Z24:AC24,Z26:AC26,Z22:AC22,Z28:AC28,Z30:AC30)/SUM(Z15:AC15,Z17:AC17,Z19:AC19,Z21:AC21,Z25:AC25,Z27:AC27,Z23:AC23,Z29:AC29,Z31:AC31)/L6</f>
        <v>0</v>
      </c>
      <c r="AE6" s="305"/>
      <c r="AF6" s="295"/>
      <c r="AG6" s="296"/>
    </row>
    <row r="7" spans="1:33" ht="15" customHeight="1" x14ac:dyDescent="0.35">
      <c r="A7" s="353"/>
      <c r="B7" s="353"/>
      <c r="C7" s="354"/>
      <c r="D7" s="354"/>
      <c r="E7" s="353"/>
      <c r="F7" s="353"/>
      <c r="G7" s="356"/>
      <c r="H7" s="353"/>
      <c r="I7" s="359"/>
      <c r="J7" s="298"/>
      <c r="K7" s="300"/>
      <c r="L7" s="323"/>
      <c r="M7" s="298"/>
      <c r="N7" s="300"/>
      <c r="O7" s="306"/>
      <c r="P7" s="326"/>
      <c r="Q7" s="307"/>
      <c r="R7" s="298"/>
      <c r="S7" s="299"/>
      <c r="T7" s="299"/>
      <c r="U7" s="300"/>
      <c r="V7" s="331"/>
      <c r="W7" s="332"/>
      <c r="X7" s="332"/>
      <c r="Y7" s="333"/>
      <c r="Z7" s="298"/>
      <c r="AA7" s="299"/>
      <c r="AB7" s="299"/>
      <c r="AC7" s="300"/>
      <c r="AD7" s="306"/>
      <c r="AE7" s="307"/>
      <c r="AF7" s="298"/>
      <c r="AG7" s="299"/>
    </row>
    <row r="8" spans="1:33" ht="25.4" customHeight="1" x14ac:dyDescent="0.35">
      <c r="A8" s="353"/>
      <c r="B8" s="353"/>
      <c r="C8" s="354"/>
      <c r="D8" s="354"/>
      <c r="E8" s="353"/>
      <c r="F8" s="353"/>
      <c r="G8" s="356"/>
      <c r="H8" s="353"/>
      <c r="I8" s="359"/>
      <c r="J8" s="298"/>
      <c r="K8" s="300"/>
      <c r="L8" s="323"/>
      <c r="M8" s="298"/>
      <c r="N8" s="300"/>
      <c r="O8" s="306"/>
      <c r="P8" s="326"/>
      <c r="Q8" s="307"/>
      <c r="R8" s="298"/>
      <c r="S8" s="299"/>
      <c r="T8" s="299"/>
      <c r="U8" s="300"/>
      <c r="V8" s="331"/>
      <c r="W8" s="332"/>
      <c r="X8" s="332"/>
      <c r="Y8" s="333"/>
      <c r="Z8" s="298"/>
      <c r="AA8" s="299"/>
      <c r="AB8" s="299"/>
      <c r="AC8" s="300"/>
      <c r="AD8" s="306"/>
      <c r="AE8" s="307"/>
      <c r="AF8" s="298"/>
      <c r="AG8" s="299"/>
    </row>
    <row r="9" spans="1:33" ht="25.4" customHeight="1" x14ac:dyDescent="0.35">
      <c r="A9" s="353"/>
      <c r="B9" s="353"/>
      <c r="C9" s="354"/>
      <c r="D9" s="354"/>
      <c r="E9" s="353"/>
      <c r="F9" s="353"/>
      <c r="G9" s="356"/>
      <c r="H9" s="353"/>
      <c r="I9" s="359"/>
      <c r="J9" s="298"/>
      <c r="K9" s="300"/>
      <c r="L9" s="323"/>
      <c r="M9" s="298"/>
      <c r="N9" s="300"/>
      <c r="O9" s="306"/>
      <c r="P9" s="326"/>
      <c r="Q9" s="307"/>
      <c r="R9" s="298"/>
      <c r="S9" s="299"/>
      <c r="T9" s="299"/>
      <c r="U9" s="300"/>
      <c r="V9" s="331"/>
      <c r="W9" s="332"/>
      <c r="X9" s="332"/>
      <c r="Y9" s="333"/>
      <c r="Z9" s="298"/>
      <c r="AA9" s="299"/>
      <c r="AB9" s="299"/>
      <c r="AC9" s="300"/>
      <c r="AD9" s="306"/>
      <c r="AE9" s="307"/>
      <c r="AF9" s="298"/>
      <c r="AG9" s="299"/>
    </row>
    <row r="10" spans="1:33" ht="15" customHeight="1" thickBot="1" x14ac:dyDescent="0.4">
      <c r="A10" s="353"/>
      <c r="B10" s="353"/>
      <c r="C10" s="354"/>
      <c r="D10" s="354"/>
      <c r="E10" s="353"/>
      <c r="F10" s="353"/>
      <c r="G10" s="357"/>
      <c r="H10" s="353"/>
      <c r="I10" s="360"/>
      <c r="J10" s="301"/>
      <c r="K10" s="303"/>
      <c r="L10" s="324"/>
      <c r="M10" s="301"/>
      <c r="N10" s="303"/>
      <c r="O10" s="308"/>
      <c r="P10" s="327"/>
      <c r="Q10" s="309"/>
      <c r="R10" s="301"/>
      <c r="S10" s="302"/>
      <c r="T10" s="302"/>
      <c r="U10" s="303"/>
      <c r="V10" s="334"/>
      <c r="W10" s="335"/>
      <c r="X10" s="335"/>
      <c r="Y10" s="336"/>
      <c r="Z10" s="301"/>
      <c r="AA10" s="302"/>
      <c r="AB10" s="302"/>
      <c r="AC10" s="303"/>
      <c r="AD10" s="308"/>
      <c r="AE10" s="309"/>
      <c r="AF10" s="298"/>
      <c r="AG10" s="299"/>
    </row>
    <row r="11" spans="1:33" s="14" customFormat="1" ht="40.4" customHeight="1" thickBot="1" x14ac:dyDescent="0.4">
      <c r="A11" s="313" t="s">
        <v>21</v>
      </c>
      <c r="B11" s="313"/>
      <c r="C11" s="313"/>
      <c r="D11" s="313"/>
      <c r="E11" s="313"/>
      <c r="F11" s="314"/>
      <c r="G11" s="315" t="s">
        <v>22</v>
      </c>
      <c r="H11" s="313"/>
      <c r="I11" s="313"/>
      <c r="J11" s="313"/>
      <c r="K11" s="313"/>
      <c r="L11" s="313"/>
      <c r="M11" s="313"/>
      <c r="N11" s="316"/>
      <c r="O11" s="317" t="s">
        <v>23</v>
      </c>
      <c r="P11" s="318"/>
      <c r="Q11" s="318"/>
      <c r="R11" s="318"/>
      <c r="S11" s="318"/>
      <c r="T11" s="318"/>
      <c r="U11" s="318"/>
      <c r="V11" s="318"/>
      <c r="W11" s="318"/>
      <c r="X11" s="318"/>
      <c r="Y11" s="318"/>
      <c r="Z11" s="318"/>
      <c r="AA11" s="318"/>
      <c r="AB11" s="318"/>
      <c r="AC11" s="318"/>
      <c r="AD11" s="319"/>
      <c r="AE11" s="320" t="s">
        <v>24</v>
      </c>
      <c r="AF11" s="321"/>
      <c r="AG11" s="321"/>
    </row>
    <row r="12" spans="1:33" ht="39" customHeight="1" x14ac:dyDescent="0.35">
      <c r="A12" s="286" t="s">
        <v>25</v>
      </c>
      <c r="B12" s="294" t="s">
        <v>26</v>
      </c>
      <c r="C12" s="294" t="s">
        <v>27</v>
      </c>
      <c r="D12" s="294" t="s">
        <v>28</v>
      </c>
      <c r="E12" s="294" t="s">
        <v>29</v>
      </c>
      <c r="F12" s="294" t="s">
        <v>30</v>
      </c>
      <c r="G12" s="294" t="s">
        <v>31</v>
      </c>
      <c r="H12" s="286" t="s">
        <v>32</v>
      </c>
      <c r="I12" s="286" t="s">
        <v>33</v>
      </c>
      <c r="J12" s="286" t="s">
        <v>34</v>
      </c>
      <c r="K12" s="286" t="s">
        <v>35</v>
      </c>
      <c r="L12" s="286" t="s">
        <v>36</v>
      </c>
      <c r="M12" s="286" t="s">
        <v>37</v>
      </c>
      <c r="N12" s="294" t="s">
        <v>38</v>
      </c>
      <c r="O12" s="310" t="s">
        <v>39</v>
      </c>
      <c r="P12" s="311" t="s">
        <v>40</v>
      </c>
      <c r="Q12" s="312" t="s">
        <v>41</v>
      </c>
      <c r="R12" s="291" t="s">
        <v>42</v>
      </c>
      <c r="S12" s="291" t="s">
        <v>43</v>
      </c>
      <c r="T12" s="291" t="s">
        <v>44</v>
      </c>
      <c r="U12" s="291" t="s">
        <v>45</v>
      </c>
      <c r="V12" s="291" t="s">
        <v>46</v>
      </c>
      <c r="W12" s="291" t="s">
        <v>47</v>
      </c>
      <c r="X12" s="291" t="s">
        <v>48</v>
      </c>
      <c r="Y12" s="291" t="s">
        <v>49</v>
      </c>
      <c r="Z12" s="291" t="s">
        <v>50</v>
      </c>
      <c r="AA12" s="291" t="s">
        <v>51</v>
      </c>
      <c r="AB12" s="291" t="s">
        <v>52</v>
      </c>
      <c r="AC12" s="291" t="s">
        <v>53</v>
      </c>
      <c r="AD12" s="292" t="s">
        <v>54</v>
      </c>
      <c r="AE12" s="288" t="s">
        <v>55</v>
      </c>
      <c r="AF12" s="288" t="s">
        <v>56</v>
      </c>
      <c r="AG12" s="288" t="s">
        <v>57</v>
      </c>
    </row>
    <row r="13" spans="1:33"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293"/>
      <c r="AE13" s="289"/>
      <c r="AF13" s="289"/>
      <c r="AG13" s="289"/>
    </row>
    <row r="14" spans="1:33" ht="66.650000000000006" customHeight="1" thickBot="1" x14ac:dyDescent="0.4">
      <c r="A14" s="262">
        <v>1</v>
      </c>
      <c r="B14" s="262" t="s">
        <v>58</v>
      </c>
      <c r="C14" s="262" t="s">
        <v>59</v>
      </c>
      <c r="D14" s="262" t="s">
        <v>60</v>
      </c>
      <c r="E14" s="262" t="s">
        <v>61</v>
      </c>
      <c r="F14" s="280"/>
      <c r="G14" s="262" t="s">
        <v>62</v>
      </c>
      <c r="H14" s="262" t="s">
        <v>63</v>
      </c>
      <c r="I14" s="262" t="s">
        <v>64</v>
      </c>
      <c r="J14" s="275" t="s">
        <v>65</v>
      </c>
      <c r="K14" s="275" t="s">
        <v>66</v>
      </c>
      <c r="L14" s="275" t="s">
        <v>67</v>
      </c>
      <c r="M14" s="278">
        <v>45293</v>
      </c>
      <c r="N14" s="278">
        <v>45657</v>
      </c>
      <c r="O14" s="15" t="s">
        <v>68</v>
      </c>
      <c r="P14" s="16">
        <f>+(P15*Q14)</f>
        <v>0</v>
      </c>
      <c r="Q14" s="17">
        <f t="shared" ref="Q14:Q31" si="0">SUM(R14:AD14)</f>
        <v>0</v>
      </c>
      <c r="R14" s="18"/>
      <c r="S14" s="18"/>
      <c r="T14" s="18"/>
      <c r="U14" s="18"/>
      <c r="V14" s="18"/>
      <c r="W14" s="18"/>
      <c r="X14" s="18"/>
      <c r="Y14" s="18"/>
      <c r="Z14" s="19"/>
      <c r="AA14" s="18"/>
      <c r="AB14" s="19"/>
      <c r="AC14" s="19"/>
      <c r="AD14" s="20"/>
      <c r="AE14" s="282"/>
      <c r="AF14" s="282"/>
      <c r="AG14" s="274"/>
    </row>
    <row r="15" spans="1:33" ht="66.650000000000006" customHeight="1" thickBot="1" x14ac:dyDescent="0.4">
      <c r="A15" s="271"/>
      <c r="B15" s="271"/>
      <c r="C15" s="271"/>
      <c r="D15" s="271"/>
      <c r="E15" s="271"/>
      <c r="F15" s="290"/>
      <c r="G15" s="271"/>
      <c r="H15" s="271"/>
      <c r="I15" s="263"/>
      <c r="J15" s="276"/>
      <c r="K15" s="276"/>
      <c r="L15" s="276"/>
      <c r="M15" s="279"/>
      <c r="N15" s="279"/>
      <c r="O15" s="15" t="s">
        <v>69</v>
      </c>
      <c r="P15" s="21">
        <f>100%/9</f>
        <v>0.1111111111111111</v>
      </c>
      <c r="Q15" s="17">
        <f t="shared" si="0"/>
        <v>1</v>
      </c>
      <c r="R15" s="22"/>
      <c r="S15" s="22"/>
      <c r="T15" s="22"/>
      <c r="U15" s="22">
        <v>0.33</v>
      </c>
      <c r="V15" s="22"/>
      <c r="W15" s="22"/>
      <c r="X15" s="22"/>
      <c r="Y15" s="22">
        <v>0.33</v>
      </c>
      <c r="Z15" s="22"/>
      <c r="AA15" s="22"/>
      <c r="AB15" s="22"/>
      <c r="AC15" s="23">
        <v>0.34</v>
      </c>
      <c r="AD15" s="23"/>
      <c r="AE15" s="282"/>
      <c r="AF15" s="282"/>
      <c r="AG15" s="274"/>
    </row>
    <row r="16" spans="1:33" ht="66.650000000000006" customHeight="1" thickBot="1" x14ac:dyDescent="0.4">
      <c r="A16" s="262">
        <v>2</v>
      </c>
      <c r="B16" s="262" t="s">
        <v>70</v>
      </c>
      <c r="C16" s="262" t="s">
        <v>59</v>
      </c>
      <c r="D16" s="262" t="s">
        <v>71</v>
      </c>
      <c r="E16" s="262" t="s">
        <v>72</v>
      </c>
      <c r="F16" s="280"/>
      <c r="G16" s="262" t="s">
        <v>73</v>
      </c>
      <c r="H16" s="262" t="s">
        <v>74</v>
      </c>
      <c r="I16" s="262" t="s">
        <v>64</v>
      </c>
      <c r="J16" s="275" t="s">
        <v>75</v>
      </c>
      <c r="K16" s="275" t="s">
        <v>66</v>
      </c>
      <c r="L16" s="275" t="s">
        <v>67</v>
      </c>
      <c r="M16" s="278">
        <v>45293</v>
      </c>
      <c r="N16" s="278">
        <v>45657</v>
      </c>
      <c r="O16" s="15" t="s">
        <v>68</v>
      </c>
      <c r="P16" s="16">
        <f>+(P17*Q16)</f>
        <v>0</v>
      </c>
      <c r="Q16" s="17">
        <f t="shared" si="0"/>
        <v>0</v>
      </c>
      <c r="R16" s="18"/>
      <c r="S16" s="18"/>
      <c r="T16" s="18"/>
      <c r="U16" s="18"/>
      <c r="V16" s="18"/>
      <c r="W16" s="18"/>
      <c r="X16" s="18"/>
      <c r="Y16" s="19"/>
      <c r="Z16" s="19"/>
      <c r="AA16" s="19"/>
      <c r="AB16" s="19"/>
      <c r="AC16" s="20"/>
      <c r="AD16" s="20"/>
      <c r="AE16" s="282"/>
      <c r="AF16" s="274"/>
      <c r="AG16" s="274"/>
    </row>
    <row r="17" spans="1:33" ht="66.650000000000006" customHeight="1" thickBot="1" x14ac:dyDescent="0.4">
      <c r="A17" s="271"/>
      <c r="B17" s="271"/>
      <c r="C17" s="263"/>
      <c r="D17" s="263"/>
      <c r="E17" s="263"/>
      <c r="F17" s="281"/>
      <c r="G17" s="263"/>
      <c r="H17" s="263"/>
      <c r="I17" s="263"/>
      <c r="J17" s="277"/>
      <c r="K17" s="277"/>
      <c r="L17" s="276"/>
      <c r="M17" s="279"/>
      <c r="N17" s="279"/>
      <c r="O17" s="15" t="s">
        <v>69</v>
      </c>
      <c r="P17" s="21">
        <f>100%/9</f>
        <v>0.1111111111111111</v>
      </c>
      <c r="Q17" s="17">
        <f t="shared" si="0"/>
        <v>1</v>
      </c>
      <c r="R17" s="22"/>
      <c r="S17" s="22"/>
      <c r="T17" s="22"/>
      <c r="U17" s="22">
        <v>0.33</v>
      </c>
      <c r="V17" s="22"/>
      <c r="W17" s="22"/>
      <c r="X17" s="22"/>
      <c r="Y17" s="22">
        <v>0.33</v>
      </c>
      <c r="Z17" s="22"/>
      <c r="AA17" s="22"/>
      <c r="AB17" s="22"/>
      <c r="AC17" s="23">
        <v>0.34</v>
      </c>
      <c r="AD17" s="23"/>
      <c r="AE17" s="282"/>
      <c r="AF17" s="274"/>
      <c r="AG17" s="274"/>
    </row>
    <row r="18" spans="1:33" ht="66.650000000000006" customHeight="1" thickBot="1" x14ac:dyDescent="0.4">
      <c r="A18" s="262">
        <v>3</v>
      </c>
      <c r="B18" s="262" t="s">
        <v>76</v>
      </c>
      <c r="C18" s="262" t="s">
        <v>77</v>
      </c>
      <c r="D18" s="262" t="s">
        <v>78</v>
      </c>
      <c r="E18" s="262" t="s">
        <v>79</v>
      </c>
      <c r="F18" s="280"/>
      <c r="G18" s="262" t="s">
        <v>14</v>
      </c>
      <c r="H18" s="262" t="s">
        <v>80</v>
      </c>
      <c r="I18" s="262" t="s">
        <v>64</v>
      </c>
      <c r="J18" s="275" t="s">
        <v>65</v>
      </c>
      <c r="K18" s="275" t="s">
        <v>66</v>
      </c>
      <c r="L18" s="275" t="s">
        <v>67</v>
      </c>
      <c r="M18" s="278">
        <v>45293</v>
      </c>
      <c r="N18" s="278">
        <v>45657</v>
      </c>
      <c r="O18" s="15" t="s">
        <v>68</v>
      </c>
      <c r="P18" s="16">
        <f>+(P19*Q18)</f>
        <v>0</v>
      </c>
      <c r="Q18" s="17">
        <f t="shared" si="0"/>
        <v>0</v>
      </c>
      <c r="R18" s="18"/>
      <c r="S18" s="18"/>
      <c r="T18" s="18"/>
      <c r="U18" s="18"/>
      <c r="V18" s="18"/>
      <c r="W18" s="18"/>
      <c r="X18" s="18"/>
      <c r="Y18" s="19"/>
      <c r="Z18" s="19"/>
      <c r="AA18" s="19"/>
      <c r="AB18" s="19"/>
      <c r="AC18" s="20"/>
      <c r="AD18" s="20"/>
      <c r="AE18" s="282"/>
      <c r="AF18" s="282"/>
      <c r="AG18" s="274"/>
    </row>
    <row r="19" spans="1:33" ht="66.650000000000006" customHeight="1" thickBot="1" x14ac:dyDescent="0.4">
      <c r="A19" s="271"/>
      <c r="B19" s="271"/>
      <c r="C19" s="263"/>
      <c r="D19" s="263"/>
      <c r="E19" s="263"/>
      <c r="F19" s="281"/>
      <c r="G19" s="263"/>
      <c r="H19" s="263"/>
      <c r="I19" s="263"/>
      <c r="J19" s="277"/>
      <c r="K19" s="277"/>
      <c r="L19" s="276"/>
      <c r="M19" s="279"/>
      <c r="N19" s="279"/>
      <c r="O19" s="15" t="s">
        <v>69</v>
      </c>
      <c r="P19" s="21">
        <f>100%/9</f>
        <v>0.1111111111111111</v>
      </c>
      <c r="Q19" s="17">
        <f t="shared" si="0"/>
        <v>1</v>
      </c>
      <c r="R19" s="22"/>
      <c r="S19" s="22"/>
      <c r="T19" s="22"/>
      <c r="U19" s="22">
        <v>0.33</v>
      </c>
      <c r="V19" s="22"/>
      <c r="W19" s="22"/>
      <c r="X19" s="22"/>
      <c r="Y19" s="22">
        <v>0.33</v>
      </c>
      <c r="Z19" s="22"/>
      <c r="AA19" s="22"/>
      <c r="AB19" s="22"/>
      <c r="AC19" s="23">
        <v>0.34</v>
      </c>
      <c r="AD19" s="23"/>
      <c r="AE19" s="282"/>
      <c r="AF19" s="282"/>
      <c r="AG19" s="274"/>
    </row>
    <row r="20" spans="1:33" ht="66.650000000000006" customHeight="1" thickBot="1" x14ac:dyDescent="0.4">
      <c r="A20" s="262">
        <v>4</v>
      </c>
      <c r="B20" s="262" t="s">
        <v>81</v>
      </c>
      <c r="C20" s="262" t="s">
        <v>82</v>
      </c>
      <c r="D20" s="262" t="s">
        <v>60</v>
      </c>
      <c r="E20" s="262" t="s">
        <v>83</v>
      </c>
      <c r="F20" s="280"/>
      <c r="G20" s="262" t="s">
        <v>84</v>
      </c>
      <c r="H20" s="262" t="s">
        <v>85</v>
      </c>
      <c r="I20" s="262" t="s">
        <v>64</v>
      </c>
      <c r="J20" s="275" t="s">
        <v>65</v>
      </c>
      <c r="K20" s="275" t="s">
        <v>66</v>
      </c>
      <c r="L20" s="275" t="s">
        <v>67</v>
      </c>
      <c r="M20" s="278">
        <v>45293</v>
      </c>
      <c r="N20" s="278">
        <v>45657</v>
      </c>
      <c r="O20" s="15" t="s">
        <v>68</v>
      </c>
      <c r="P20" s="16">
        <f>+(P21*Q20)</f>
        <v>0</v>
      </c>
      <c r="Q20" s="17">
        <f t="shared" si="0"/>
        <v>0</v>
      </c>
      <c r="R20" s="18"/>
      <c r="S20" s="18"/>
      <c r="T20" s="18"/>
      <c r="U20" s="18"/>
      <c r="V20" s="18"/>
      <c r="W20" s="18"/>
      <c r="X20" s="18"/>
      <c r="Y20" s="24"/>
      <c r="Z20" s="24"/>
      <c r="AA20" s="19"/>
      <c r="AB20" s="19"/>
      <c r="AC20" s="20"/>
      <c r="AD20" s="20"/>
      <c r="AE20" s="282"/>
      <c r="AF20" s="274"/>
      <c r="AG20" s="274"/>
    </row>
    <row r="21" spans="1:33" ht="66.650000000000006" customHeight="1" thickBot="1" x14ac:dyDescent="0.4">
      <c r="A21" s="271"/>
      <c r="B21" s="271"/>
      <c r="C21" s="263"/>
      <c r="D21" s="263"/>
      <c r="E21" s="263"/>
      <c r="F21" s="281"/>
      <c r="G21" s="263"/>
      <c r="H21" s="263"/>
      <c r="I21" s="263"/>
      <c r="J21" s="277"/>
      <c r="K21" s="277"/>
      <c r="L21" s="276"/>
      <c r="M21" s="279"/>
      <c r="N21" s="279"/>
      <c r="O21" s="15" t="s">
        <v>69</v>
      </c>
      <c r="P21" s="21">
        <f>100%/9</f>
        <v>0.1111111111111111</v>
      </c>
      <c r="Q21" s="17">
        <f t="shared" si="0"/>
        <v>1</v>
      </c>
      <c r="R21" s="22"/>
      <c r="S21" s="22"/>
      <c r="T21" s="22"/>
      <c r="U21" s="22">
        <v>0.33</v>
      </c>
      <c r="V21" s="22"/>
      <c r="W21" s="22"/>
      <c r="X21" s="22"/>
      <c r="Y21" s="22">
        <v>0.33</v>
      </c>
      <c r="Z21" s="22"/>
      <c r="AA21" s="22"/>
      <c r="AB21" s="22"/>
      <c r="AC21" s="23">
        <v>0.34</v>
      </c>
      <c r="AD21" s="23"/>
      <c r="AE21" s="282"/>
      <c r="AF21" s="274"/>
      <c r="AG21" s="274"/>
    </row>
    <row r="22" spans="1:33" ht="66.650000000000006" customHeight="1" thickBot="1" x14ac:dyDescent="0.4">
      <c r="A22" s="262">
        <v>5</v>
      </c>
      <c r="B22" s="262" t="s">
        <v>81</v>
      </c>
      <c r="C22" s="262" t="s">
        <v>82</v>
      </c>
      <c r="D22" s="262" t="s">
        <v>60</v>
      </c>
      <c r="E22" s="262" t="s">
        <v>86</v>
      </c>
      <c r="F22" s="280"/>
      <c r="G22" s="262" t="s">
        <v>87</v>
      </c>
      <c r="H22" s="262" t="s">
        <v>88</v>
      </c>
      <c r="I22" s="262" t="s">
        <v>64</v>
      </c>
      <c r="J22" s="275" t="s">
        <v>65</v>
      </c>
      <c r="K22" s="275" t="s">
        <v>66</v>
      </c>
      <c r="L22" s="275" t="s">
        <v>67</v>
      </c>
      <c r="M22" s="278">
        <v>45293</v>
      </c>
      <c r="N22" s="278">
        <v>45657</v>
      </c>
      <c r="O22" s="15" t="s">
        <v>68</v>
      </c>
      <c r="P22" s="16">
        <f>+(P23*Q22)</f>
        <v>0</v>
      </c>
      <c r="Q22" s="17">
        <f t="shared" si="0"/>
        <v>0</v>
      </c>
      <c r="R22" s="18"/>
      <c r="S22" s="18"/>
      <c r="T22" s="18"/>
      <c r="U22" s="18"/>
      <c r="V22" s="18"/>
      <c r="W22" s="18"/>
      <c r="X22" s="18"/>
      <c r="Y22" s="24"/>
      <c r="Z22" s="24"/>
      <c r="AA22" s="19"/>
      <c r="AB22" s="19"/>
      <c r="AC22" s="20"/>
      <c r="AD22" s="20"/>
      <c r="AE22" s="282"/>
      <c r="AF22" s="274"/>
      <c r="AG22" s="274"/>
    </row>
    <row r="23" spans="1:33" ht="66.650000000000006" customHeight="1" thickBot="1" x14ac:dyDescent="0.4">
      <c r="A23" s="271"/>
      <c r="B23" s="271"/>
      <c r="C23" s="263"/>
      <c r="D23" s="263"/>
      <c r="E23" s="263"/>
      <c r="F23" s="281"/>
      <c r="G23" s="263"/>
      <c r="H23" s="263"/>
      <c r="I23" s="263"/>
      <c r="J23" s="277"/>
      <c r="K23" s="277"/>
      <c r="L23" s="276"/>
      <c r="M23" s="279"/>
      <c r="N23" s="279"/>
      <c r="O23" s="15" t="s">
        <v>69</v>
      </c>
      <c r="P23" s="21">
        <f>100%/9</f>
        <v>0.1111111111111111</v>
      </c>
      <c r="Q23" s="17">
        <f t="shared" si="0"/>
        <v>1</v>
      </c>
      <c r="R23" s="22"/>
      <c r="S23" s="22"/>
      <c r="T23" s="22"/>
      <c r="U23" s="22">
        <v>0.33</v>
      </c>
      <c r="V23" s="22"/>
      <c r="W23" s="22"/>
      <c r="X23" s="22"/>
      <c r="Y23" s="22">
        <v>0.33</v>
      </c>
      <c r="Z23" s="22"/>
      <c r="AA23" s="22"/>
      <c r="AB23" s="22"/>
      <c r="AC23" s="23">
        <v>0.34</v>
      </c>
      <c r="AD23" s="23"/>
      <c r="AE23" s="282"/>
      <c r="AF23" s="274"/>
      <c r="AG23" s="274"/>
    </row>
    <row r="24" spans="1:33" ht="66.650000000000006" customHeight="1" thickBot="1" x14ac:dyDescent="0.4">
      <c r="A24" s="262">
        <v>6</v>
      </c>
      <c r="B24" s="262" t="s">
        <v>70</v>
      </c>
      <c r="C24" s="262" t="s">
        <v>89</v>
      </c>
      <c r="D24" s="262" t="s">
        <v>90</v>
      </c>
      <c r="E24" s="262" t="s">
        <v>91</v>
      </c>
      <c r="F24" s="280"/>
      <c r="G24" s="284" t="s">
        <v>92</v>
      </c>
      <c r="H24" s="262" t="s">
        <v>93</v>
      </c>
      <c r="I24" s="262" t="s">
        <v>64</v>
      </c>
      <c r="J24" s="275" t="s">
        <v>65</v>
      </c>
      <c r="K24" s="275" t="s">
        <v>66</v>
      </c>
      <c r="L24" s="275" t="s">
        <v>67</v>
      </c>
      <c r="M24" s="278">
        <v>45293</v>
      </c>
      <c r="N24" s="278">
        <v>45657</v>
      </c>
      <c r="O24" s="15" t="s">
        <v>68</v>
      </c>
      <c r="P24" s="16">
        <f>+(P25*Q24)</f>
        <v>0</v>
      </c>
      <c r="Q24" s="17">
        <f t="shared" si="0"/>
        <v>0</v>
      </c>
      <c r="R24" s="25"/>
      <c r="S24" s="25"/>
      <c r="T24" s="25"/>
      <c r="U24" s="18"/>
      <c r="V24" s="18"/>
      <c r="W24" s="18"/>
      <c r="X24" s="18"/>
      <c r="Y24" s="19"/>
      <c r="Z24" s="19"/>
      <c r="AA24" s="19"/>
      <c r="AB24" s="19"/>
      <c r="AC24" s="20"/>
      <c r="AD24" s="20"/>
      <c r="AE24" s="282"/>
      <c r="AF24" s="274"/>
      <c r="AG24" s="274"/>
    </row>
    <row r="25" spans="1:33" ht="66.650000000000006" customHeight="1" thickBot="1" x14ac:dyDescent="0.4">
      <c r="A25" s="271"/>
      <c r="B25" s="271"/>
      <c r="C25" s="263"/>
      <c r="D25" s="263"/>
      <c r="E25" s="263"/>
      <c r="F25" s="281"/>
      <c r="G25" s="285"/>
      <c r="H25" s="263"/>
      <c r="I25" s="263"/>
      <c r="J25" s="277"/>
      <c r="K25" s="277"/>
      <c r="L25" s="276"/>
      <c r="M25" s="279"/>
      <c r="N25" s="279"/>
      <c r="O25" s="15" t="s">
        <v>69</v>
      </c>
      <c r="P25" s="21">
        <f>100%/9</f>
        <v>0.1111111111111111</v>
      </c>
      <c r="Q25" s="17">
        <f t="shared" si="0"/>
        <v>1</v>
      </c>
      <c r="R25" s="22"/>
      <c r="S25" s="22"/>
      <c r="T25" s="22"/>
      <c r="U25" s="22">
        <v>0.33</v>
      </c>
      <c r="V25" s="22"/>
      <c r="W25" s="22"/>
      <c r="X25" s="22"/>
      <c r="Y25" s="22">
        <v>0.33</v>
      </c>
      <c r="Z25" s="22"/>
      <c r="AA25" s="22"/>
      <c r="AB25" s="22"/>
      <c r="AC25" s="23">
        <v>0.34</v>
      </c>
      <c r="AD25" s="23"/>
      <c r="AE25" s="282"/>
      <c r="AF25" s="274"/>
      <c r="AG25" s="274"/>
    </row>
    <row r="26" spans="1:33" ht="66.650000000000006" customHeight="1" thickBot="1" x14ac:dyDescent="0.4">
      <c r="A26" s="262">
        <v>7</v>
      </c>
      <c r="B26" s="262" t="s">
        <v>94</v>
      </c>
      <c r="C26" s="262" t="s">
        <v>59</v>
      </c>
      <c r="D26" s="262" t="s">
        <v>60</v>
      </c>
      <c r="E26" s="262" t="s">
        <v>95</v>
      </c>
      <c r="F26" s="280"/>
      <c r="G26" s="262" t="s">
        <v>96</v>
      </c>
      <c r="H26" s="262" t="s">
        <v>97</v>
      </c>
      <c r="I26" s="262" t="s">
        <v>64</v>
      </c>
      <c r="J26" s="275" t="s">
        <v>65</v>
      </c>
      <c r="K26" s="275" t="s">
        <v>66</v>
      </c>
      <c r="L26" s="275" t="s">
        <v>67</v>
      </c>
      <c r="M26" s="278">
        <v>45293</v>
      </c>
      <c r="N26" s="278">
        <v>45657</v>
      </c>
      <c r="O26" s="15" t="s">
        <v>68</v>
      </c>
      <c r="P26" s="16">
        <f>+(P27*Q26)</f>
        <v>0</v>
      </c>
      <c r="Q26" s="17">
        <f t="shared" si="0"/>
        <v>0</v>
      </c>
      <c r="R26" s="26"/>
      <c r="S26" s="26"/>
      <c r="T26" s="27"/>
      <c r="U26" s="18"/>
      <c r="V26" s="18"/>
      <c r="W26" s="18"/>
      <c r="X26" s="18"/>
      <c r="Y26" s="19"/>
      <c r="Z26" s="19"/>
      <c r="AA26" s="19"/>
      <c r="AB26" s="19"/>
      <c r="AC26" s="20"/>
      <c r="AD26" s="20"/>
      <c r="AE26" s="283"/>
      <c r="AF26" s="274"/>
      <c r="AG26" s="274"/>
    </row>
    <row r="27" spans="1:33" ht="66.650000000000006" customHeight="1" thickBot="1" x14ac:dyDescent="0.4">
      <c r="A27" s="271"/>
      <c r="B27" s="271"/>
      <c r="C27" s="263"/>
      <c r="D27" s="263"/>
      <c r="E27" s="263"/>
      <c r="F27" s="281"/>
      <c r="G27" s="263"/>
      <c r="H27" s="263"/>
      <c r="I27" s="263"/>
      <c r="J27" s="277"/>
      <c r="K27" s="277"/>
      <c r="L27" s="276"/>
      <c r="M27" s="279"/>
      <c r="N27" s="279"/>
      <c r="O27" s="15" t="s">
        <v>69</v>
      </c>
      <c r="P27" s="21">
        <f>100%/9</f>
        <v>0.1111111111111111</v>
      </c>
      <c r="Q27" s="17">
        <f t="shared" si="0"/>
        <v>1</v>
      </c>
      <c r="R27" s="22"/>
      <c r="S27" s="22"/>
      <c r="T27" s="22"/>
      <c r="U27" s="22">
        <v>0.33</v>
      </c>
      <c r="V27" s="22"/>
      <c r="W27" s="22"/>
      <c r="X27" s="22"/>
      <c r="Y27" s="22">
        <v>0.33</v>
      </c>
      <c r="Z27" s="22"/>
      <c r="AA27" s="22"/>
      <c r="AB27" s="22"/>
      <c r="AC27" s="23">
        <v>0.34</v>
      </c>
      <c r="AD27" s="23"/>
      <c r="AE27" s="283"/>
      <c r="AF27" s="274"/>
      <c r="AG27" s="274"/>
    </row>
    <row r="28" spans="1:33" ht="66.650000000000006" customHeight="1" thickBot="1" x14ac:dyDescent="0.4">
      <c r="A28" s="262">
        <v>8</v>
      </c>
      <c r="B28" s="262" t="s">
        <v>94</v>
      </c>
      <c r="C28" s="261" t="s">
        <v>98</v>
      </c>
      <c r="D28" s="261" t="s">
        <v>71</v>
      </c>
      <c r="E28" s="261" t="s">
        <v>99</v>
      </c>
      <c r="F28" s="272"/>
      <c r="G28" s="261" t="s">
        <v>100</v>
      </c>
      <c r="H28" s="261" t="s">
        <v>101</v>
      </c>
      <c r="I28" s="262" t="s">
        <v>64</v>
      </c>
      <c r="J28" s="273" t="s">
        <v>65</v>
      </c>
      <c r="K28" s="273" t="s">
        <v>66</v>
      </c>
      <c r="L28" s="275" t="s">
        <v>67</v>
      </c>
      <c r="M28" s="278">
        <v>45293</v>
      </c>
      <c r="N28" s="278">
        <v>45657</v>
      </c>
      <c r="O28" s="15" t="s">
        <v>68</v>
      </c>
      <c r="P28" s="16">
        <f>+(P29*Q28)</f>
        <v>0</v>
      </c>
      <c r="Q28" s="17">
        <f t="shared" si="0"/>
        <v>0</v>
      </c>
      <c r="R28" s="25"/>
      <c r="S28" s="25"/>
      <c r="T28" s="25"/>
      <c r="U28" s="25"/>
      <c r="V28" s="25"/>
      <c r="W28" s="25"/>
      <c r="X28" s="25"/>
      <c r="Y28" s="25"/>
      <c r="Z28" s="25"/>
      <c r="AA28" s="25"/>
      <c r="AB28" s="25"/>
      <c r="AC28" s="29"/>
      <c r="AD28" s="29"/>
      <c r="AE28" s="260" t="s">
        <v>102</v>
      </c>
      <c r="AF28" s="274"/>
      <c r="AG28" s="274"/>
    </row>
    <row r="29" spans="1:33" ht="66.650000000000006" customHeight="1" thickBot="1" x14ac:dyDescent="0.4">
      <c r="A29" s="271"/>
      <c r="B29" s="271"/>
      <c r="C29" s="261"/>
      <c r="D29" s="261"/>
      <c r="E29" s="261"/>
      <c r="F29" s="272"/>
      <c r="G29" s="261"/>
      <c r="H29" s="261"/>
      <c r="I29" s="263"/>
      <c r="J29" s="273"/>
      <c r="K29" s="273"/>
      <c r="L29" s="276"/>
      <c r="M29" s="279"/>
      <c r="N29" s="279"/>
      <c r="O29" s="15" t="s">
        <v>69</v>
      </c>
      <c r="P29" s="21">
        <f>100%/9</f>
        <v>0.1111111111111111</v>
      </c>
      <c r="Q29" s="17">
        <f t="shared" si="0"/>
        <v>1</v>
      </c>
      <c r="R29" s="22"/>
      <c r="S29" s="22"/>
      <c r="T29" s="22"/>
      <c r="U29" s="22">
        <v>0.33</v>
      </c>
      <c r="V29" s="22"/>
      <c r="W29" s="22"/>
      <c r="X29" s="22"/>
      <c r="Y29" s="22">
        <v>0.33</v>
      </c>
      <c r="Z29" s="22"/>
      <c r="AA29" s="22"/>
      <c r="AB29" s="22"/>
      <c r="AC29" s="23">
        <v>0.34</v>
      </c>
      <c r="AD29" s="23"/>
      <c r="AE29" s="260"/>
      <c r="AF29" s="274"/>
      <c r="AG29" s="274"/>
    </row>
    <row r="30" spans="1:33" ht="66.650000000000006" customHeight="1" thickBot="1" x14ac:dyDescent="0.4">
      <c r="A30" s="261">
        <v>9</v>
      </c>
      <c r="B30" s="261" t="s">
        <v>94</v>
      </c>
      <c r="C30" s="261" t="s">
        <v>103</v>
      </c>
      <c r="D30" s="261" t="s">
        <v>60</v>
      </c>
      <c r="E30" s="261" t="s">
        <v>104</v>
      </c>
      <c r="F30" s="272"/>
      <c r="G30" s="261" t="s">
        <v>105</v>
      </c>
      <c r="H30" s="261" t="s">
        <v>106</v>
      </c>
      <c r="I30" s="262" t="s">
        <v>64</v>
      </c>
      <c r="J30" s="273" t="s">
        <v>65</v>
      </c>
      <c r="K30" s="273" t="s">
        <v>66</v>
      </c>
      <c r="L30" s="273" t="s">
        <v>67</v>
      </c>
      <c r="M30" s="267">
        <v>45293</v>
      </c>
      <c r="N30" s="267">
        <v>45657</v>
      </c>
      <c r="O30" s="15" t="s">
        <v>68</v>
      </c>
      <c r="P30" s="16">
        <f>+(P31*Q30)</f>
        <v>0</v>
      </c>
      <c r="Q30" s="17">
        <f t="shared" si="0"/>
        <v>0</v>
      </c>
      <c r="R30" s="25"/>
      <c r="S30" s="25"/>
      <c r="T30" s="25"/>
      <c r="U30" s="25"/>
      <c r="V30" s="25"/>
      <c r="W30" s="25"/>
      <c r="X30" s="25"/>
      <c r="Y30" s="25"/>
      <c r="Z30" s="25"/>
      <c r="AA30" s="25"/>
      <c r="AB30" s="25"/>
      <c r="AC30" s="29"/>
      <c r="AD30" s="29"/>
      <c r="AE30" s="260"/>
      <c r="AF30" s="260"/>
      <c r="AG30" s="260"/>
    </row>
    <row r="31" spans="1:33" ht="66.650000000000006" customHeight="1" x14ac:dyDescent="0.35">
      <c r="A31" s="261"/>
      <c r="B31" s="261"/>
      <c r="C31" s="261"/>
      <c r="D31" s="261"/>
      <c r="E31" s="261"/>
      <c r="F31" s="272"/>
      <c r="G31" s="261"/>
      <c r="H31" s="261"/>
      <c r="I31" s="263"/>
      <c r="J31" s="273"/>
      <c r="K31" s="273"/>
      <c r="L31" s="273"/>
      <c r="M31" s="267"/>
      <c r="N31" s="267"/>
      <c r="O31" s="15" t="s">
        <v>69</v>
      </c>
      <c r="P31" s="21">
        <f>100%/9</f>
        <v>0.1111111111111111</v>
      </c>
      <c r="Q31" s="17">
        <f t="shared" si="0"/>
        <v>1</v>
      </c>
      <c r="R31" s="22"/>
      <c r="S31" s="22"/>
      <c r="T31" s="22"/>
      <c r="U31" s="22">
        <v>0.33</v>
      </c>
      <c r="V31" s="22"/>
      <c r="W31" s="22"/>
      <c r="X31" s="22"/>
      <c r="Y31" s="22">
        <v>0.33</v>
      </c>
      <c r="Z31" s="22"/>
      <c r="AA31" s="22"/>
      <c r="AB31" s="22"/>
      <c r="AC31" s="23">
        <v>0.34</v>
      </c>
      <c r="AD31" s="23"/>
      <c r="AE31" s="260"/>
      <c r="AF31" s="260"/>
      <c r="AG31" s="260"/>
    </row>
    <row r="33" spans="4:30" ht="30" hidden="1" customHeight="1" x14ac:dyDescent="0.35">
      <c r="D33" s="264" t="s">
        <v>17</v>
      </c>
      <c r="E33" s="264"/>
      <c r="F33" s="30">
        <v>1</v>
      </c>
      <c r="H33" s="31" t="s">
        <v>107</v>
      </c>
      <c r="I33" s="32" t="e">
        <f>SUM(N33:AC33)</f>
        <v>#REF!</v>
      </c>
      <c r="J33" s="33"/>
      <c r="K33" s="33"/>
      <c r="L33" s="33"/>
      <c r="M33" s="33"/>
      <c r="N33" s="33" t="e">
        <f>+(V14*$P$15)+(V16*$P$17)+(V18*$P$19)+(V20*$P$21)+(V24*$P$25)+(V27*$P$27)+(#REF!*$P$29)+(#REF!*#REF!)+(#REF!*#REF!)+(#REF!*#REF!)+(#REF!*#REF!)+(#REF!*#REF!)+(#REF!*#REF!)</f>
        <v>#REF!</v>
      </c>
      <c r="O33" s="33" t="e">
        <f>+(AC14*$P$15)+(AC16*$P$17)+(AC18*$P$19)+(AC20*$P$21)+(AC24*$P$25)+(AC27*$P$27)+(#REF!*$P$29)+(#REF!*#REF!)+(#REF!*#REF!)+(#REF!*#REF!)+(#REF!*#REF!)+(#REF!*#REF!)+(#REF!*#REF!)</f>
        <v>#REF!</v>
      </c>
      <c r="P33" s="34" t="e">
        <f>+(#REF!*$P$15)+(#REF!*$P$17)+(#REF!*$P$19)+(#REF!*$P$21)+(#REF!*$P$25)+(#REF!*$P$27)+(#REF!*$P$29)+(#REF!*#REF!)+(#REF!*#REF!)+(#REF!*#REF!)+(#REF!*#REF!)+(#REF!*#REF!)+(#REF!*#REF!)</f>
        <v>#REF!</v>
      </c>
      <c r="Q33" s="33" t="e">
        <f>+(#REF!*$P$15)+(#REF!*$P$17)+(#REF!*$P$19)+(#REF!*$P$21)+(#REF!*$P$25)+(#REF!*$P$27)+(#REF!*$P$29)+(#REF!*#REF!)+(#REF!*#REF!)+(#REF!*#REF!)+(#REF!*#REF!)+(#REF!*#REF!)+(#REF!*#REF!)</f>
        <v>#REF!</v>
      </c>
      <c r="R33" s="33" t="e">
        <f>+(#REF!*$P$15)+(#REF!*$P$17)+(#REF!*$P$19)+(#REF!*$P$21)+(#REF!*$P$25)+(#REF!*$P$27)+(#REF!*$P$29)+(#REF!*#REF!)+(#REF!*#REF!)+(#REF!*#REF!)+(#REF!*#REF!)+(#REF!*#REF!)+(#REF!*#REF!)</f>
        <v>#REF!</v>
      </c>
      <c r="S33" s="33" t="e">
        <f>+(#REF!*$P$15)+(#REF!*$P$17)+(#REF!*$P$19)+(#REF!*$P$21)+(#REF!*$P$25)+(#REF!*$P$27)+(#REF!*$P$29)+(#REF!*#REF!)+(#REF!*#REF!)+(#REF!*#REF!)+(#REF!*#REF!)+(#REF!*#REF!)+(#REF!*#REF!)</f>
        <v>#REF!</v>
      </c>
      <c r="T33" s="33" t="e">
        <f>+(#REF!*$P$15)+(#REF!*$P$17)+(#REF!*$P$19)+(#REF!*$P$21)+(#REF!*$P$25)+(#REF!*$P$27)+(S29*$P$29)+(#REF!*#REF!)+(#REF!*#REF!)+(#REF!*#REF!)+(#REF!*#REF!)+(#REF!*#REF!)+(#REF!*#REF!)</f>
        <v>#REF!</v>
      </c>
      <c r="U33" s="33" t="e">
        <f>+(#REF!*$P$15)+(#REF!*$P$17)+(#REF!*$P$19)+(#REF!*$P$21)+(#REF!*$P$25)+(#REF!*$P$27)+(T29*$P$29)+(#REF!*#REF!)+(#REF!*#REF!)+(#REF!*#REF!)+(#REF!*#REF!)+(#REF!*#REF!)+(#REF!*#REF!)</f>
        <v>#REF!</v>
      </c>
      <c r="V33" s="33" t="e">
        <f>+(#REF!*$P$15)+(#REF!*$P$17)+(#REF!*$P$19)+(#REF!*$P$21)+(#REF!*$P$25)+(#REF!*$P$27)+(U29*$P$29)+(#REF!*#REF!)+(#REF!*#REF!)+(#REF!*#REF!)+(#REF!*#REF!)+(#REF!*#REF!)+(#REF!*#REF!)</f>
        <v>#REF!</v>
      </c>
      <c r="W33" s="33" t="e">
        <f>+(#REF!*$P$15)+(#REF!*$P$17)+(#REF!*$P$19)+(#REF!*$P$21)+(#REF!*$P$25)+(#REF!*$P$27)+(V29*$P$29)+(#REF!*#REF!)+(#REF!*#REF!)+(#REF!*#REF!)+(#REF!*#REF!)+(#REF!*#REF!)+(#REF!*#REF!)</f>
        <v>#REF!</v>
      </c>
      <c r="X33" s="33" t="e">
        <f>+(#REF!*$P$15)+(#REF!*$P$17)+(#REF!*$P$19)+(#REF!*$P$21)+(#REF!*$P$25)+(#REF!*$P$27)+(W29*$P$29)+(#REF!*#REF!)+(#REF!*#REF!)+(#REF!*#REF!)+(#REF!*#REF!)+(#REF!*#REF!)+(#REF!*#REF!)</f>
        <v>#REF!</v>
      </c>
      <c r="Y33" s="33" t="e">
        <f>+(#REF!*$P$15)+(#REF!*$P$17)+(#REF!*$P$19)+(#REF!*$P$21)+(#REF!*$P$25)+(#REF!*$P$27)+(X29*$P$29)+(#REF!*#REF!)+(#REF!*#REF!)+(#REF!*#REF!)+(#REF!*#REF!)+(#REF!*#REF!)+(#REF!*#REF!)</f>
        <v>#REF!</v>
      </c>
      <c r="Z33" s="33" t="e">
        <f>+(#REF!*$P$15)+(#REF!*$P$17)+(#REF!*$P$19)+(#REF!*$P$21)+(#REF!*$P$25)+(#REF!*$P$27)+(Y29*$P$29)+(#REF!*#REF!)+(#REF!*#REF!)+(#REF!*#REF!)+(#REF!*#REF!)+(#REF!*#REF!)+(#REF!*#REF!)</f>
        <v>#REF!</v>
      </c>
      <c r="AA33" s="33" t="e">
        <f>+(#REF!*$P$15)+(#REF!*$P$17)+(#REF!*$P$19)+(#REF!*$P$21)+(#REF!*$P$25)+(#REF!*$P$27)+(Z29*$P$29)+(#REF!*#REF!)+(#REF!*#REF!)+(#REF!*#REF!)+(#REF!*#REF!)+(#REF!*#REF!)+(#REF!*#REF!)</f>
        <v>#REF!</v>
      </c>
      <c r="AB33" s="34" t="e">
        <f>+(#REF!*$P$15)+(#REF!*$P$17)+(#REF!*$P$19)+(#REF!*$P$21)+(#REF!*$P$25)+(#REF!*$P$27)+(AA29*$P$29)+(#REF!*#REF!)+(#REF!*#REF!)+(#REF!*#REF!)+(#REF!*#REF!)+(#REF!*#REF!)+(#REF!*#REF!)</f>
        <v>#REF!</v>
      </c>
      <c r="AC33" s="33" t="e">
        <f>+(#REF!*$P$15)+(#REF!*$P$17)+(#REF!*$P$19)+(#REF!*$P$21)+(#REF!*$P$25)+(#REF!*$P$27)+(AB29*$P$29)+(#REF!*#REF!)+(#REF!*#REF!)+(#REF!*#REF!)+(#REF!*#REF!)+(#REF!*#REF!)+(#REF!*#REF!)</f>
        <v>#REF!</v>
      </c>
      <c r="AD33" s="35"/>
    </row>
    <row r="34" spans="4:30" ht="30" hidden="1" customHeight="1" x14ac:dyDescent="0.35">
      <c r="D34" s="264"/>
      <c r="E34" s="264"/>
      <c r="F34" s="30"/>
      <c r="H34" s="36" t="s">
        <v>108</v>
      </c>
      <c r="I34" s="37"/>
      <c r="J34" s="38"/>
      <c r="K34" s="38"/>
      <c r="L34" s="38"/>
      <c r="M34" s="38"/>
      <c r="N34" s="38"/>
      <c r="O34" s="38" t="e">
        <f>SUM(O33:O33)</f>
        <v>#REF!</v>
      </c>
      <c r="P34" s="39"/>
      <c r="Q34" s="38"/>
      <c r="R34" s="38"/>
      <c r="S34" s="40" t="e">
        <f>SUM(P33:S33)</f>
        <v>#REF!</v>
      </c>
      <c r="T34" s="40"/>
      <c r="U34" s="40"/>
      <c r="V34" s="40"/>
      <c r="W34" s="40" t="e">
        <f>SUM(T33:W33)</f>
        <v>#REF!</v>
      </c>
      <c r="X34" s="40"/>
      <c r="Y34" s="40"/>
      <c r="Z34" s="40"/>
      <c r="AA34" s="40" t="e">
        <f>SUM(X33:AA33)</f>
        <v>#REF!</v>
      </c>
      <c r="AB34" s="41"/>
      <c r="AC34" s="40"/>
      <c r="AD34" s="42"/>
    </row>
    <row r="35" spans="4:30" ht="30" hidden="1" customHeight="1" x14ac:dyDescent="0.35">
      <c r="H35" s="36" t="s">
        <v>109</v>
      </c>
      <c r="I35" s="43"/>
      <c r="J35" s="38"/>
      <c r="K35" s="38"/>
      <c r="L35" s="38"/>
      <c r="M35" s="38"/>
      <c r="N35" s="38"/>
      <c r="O35" s="38" t="e">
        <f>+#REF!+O34</f>
        <v>#REF!</v>
      </c>
      <c r="P35" s="39"/>
      <c r="Q35" s="38"/>
      <c r="R35" s="38"/>
      <c r="S35" s="44"/>
      <c r="T35" s="40"/>
      <c r="U35" s="40"/>
      <c r="V35" s="40"/>
      <c r="W35" s="40"/>
      <c r="X35" s="40"/>
      <c r="Y35" s="40"/>
      <c r="Z35" s="40"/>
      <c r="AA35" s="40" t="e">
        <f>+S34+W34+AA34</f>
        <v>#REF!</v>
      </c>
      <c r="AB35" s="41"/>
      <c r="AC35" s="40"/>
      <c r="AD35" s="42"/>
    </row>
    <row r="36" spans="4:30" ht="30" hidden="1" customHeight="1" x14ac:dyDescent="0.35">
      <c r="H36" s="45" t="s">
        <v>110</v>
      </c>
      <c r="I36" s="46"/>
      <c r="J36" s="47"/>
      <c r="K36" s="47"/>
      <c r="L36" s="47"/>
      <c r="M36" s="47"/>
      <c r="N36" s="47"/>
      <c r="O36" s="47"/>
      <c r="P36" s="48"/>
      <c r="Q36" s="47"/>
      <c r="R36" s="47"/>
      <c r="S36" s="49"/>
      <c r="T36" s="50"/>
      <c r="U36" s="50"/>
      <c r="V36" s="50"/>
      <c r="W36" s="50"/>
      <c r="X36" s="50"/>
      <c r="Y36" s="50"/>
      <c r="Z36" s="50"/>
      <c r="AA36" s="50" t="e">
        <f>+O35+AA35</f>
        <v>#REF!</v>
      </c>
      <c r="AB36" s="51"/>
      <c r="AC36" s="50"/>
      <c r="AD36" s="42"/>
    </row>
    <row r="37" spans="4:30" ht="30" hidden="1" customHeight="1" x14ac:dyDescent="0.35">
      <c r="H37" s="36" t="s">
        <v>111</v>
      </c>
      <c r="I37" s="52" t="e">
        <f>SUM(N37:AC37)</f>
        <v>#REF!</v>
      </c>
      <c r="J37" s="38"/>
      <c r="K37" s="38"/>
      <c r="L37" s="38"/>
      <c r="M37" s="38"/>
      <c r="N37" s="38" t="e">
        <f>+(V15*$P$15)+(V17*$P$17)+(#REF!*$P$19)+(V21*$P$21)+(#REF!*$P$25)+(V28*$P$27)+(#REF!*$P$29)+(#REF!*#REF!)+(#REF!*#REF!)+(#REF!*#REF!)+(#REF!*#REF!)+(#REF!*#REF!)+(#REF!*#REF!)</f>
        <v>#REF!</v>
      </c>
      <c r="O37" s="38" t="e">
        <f>+(AC15*$P$15)+(AC17*$P$17)+(AC19*$P$19)+(AC21*$P$21)+(#REF!*$P$25)+(AC28*$P$27)+(#REF!*$P$29)+(#REF!*#REF!)+(#REF!*#REF!)+(#REF!*#REF!)+(#REF!*#REF!)+(#REF!*#REF!)+(#REF!*#REF!)</f>
        <v>#REF!</v>
      </c>
      <c r="P37" s="39" t="e">
        <f>+(#REF!*$P$15)+(#REF!*$P$17)+(#REF!*$P$19)+(#REF!*$P$21)+(#REF!*$P$25)+(#REF!*$P$27)+(#REF!*$P$29)+(#REF!*#REF!)+(#REF!*#REF!)+(#REF!*#REF!)+(#REF!*#REF!)+(#REF!*#REF!)+(#REF!*#REF!)</f>
        <v>#REF!</v>
      </c>
      <c r="Q37" s="38" t="e">
        <f>+(#REF!*$P$15)+(#REF!*$P$17)+(#REF!*$P$19)+(#REF!*$P$21)+(#REF!*$P$25)+(#REF!*$P$27)+(#REF!*$P$29)+(#REF!*#REF!)+(#REF!*#REF!)+(#REF!*#REF!)+(#REF!*#REF!)+(#REF!*#REF!)+(#REF!*#REF!)</f>
        <v>#REF!</v>
      </c>
      <c r="R37" s="38" t="e">
        <f>+(#REF!*$P$15)+(#REF!*$P$17)+(#REF!*$P$19)+(#REF!*$P$21)+(#REF!*$P$25)+(#REF!*$P$27)+(#REF!*$P$29)+(#REF!*#REF!)+(#REF!*#REF!)+(#REF!*#REF!)+(#REF!*#REF!)+(#REF!*#REF!)+(#REF!*#REF!)</f>
        <v>#REF!</v>
      </c>
      <c r="S37" s="38" t="e">
        <f>+(#REF!*$P$15)+(#REF!*$P$17)+(#REF!*$P$19)+(#REF!*$P$21)+(#REF!*$P$25)+(#REF!*$P$27)+(R28*$P$29)+(#REF!*#REF!)+(#REF!*#REF!)+(#REF!*#REF!)+(#REF!*#REF!)+(#REF!*#REF!)+(#REF!*#REF!)</f>
        <v>#REF!</v>
      </c>
      <c r="T37" s="38" t="e">
        <f>+(#REF!*$P$15)+(#REF!*$P$17)+(#REF!*$P$19)+(#REF!*$P$21)+(#REF!*$P$25)+(#REF!*$P$27)+(#REF!*$P$29)+(#REF!*#REF!)+(#REF!*#REF!)+(#REF!*#REF!)+(#REF!*#REF!)+(#REF!*#REF!)+(#REF!*#REF!)</f>
        <v>#REF!</v>
      </c>
      <c r="U37" s="38" t="e">
        <f>+(#REF!*$P$15)+(#REF!*$P$17)+(#REF!*$P$19)+(#REF!*$P$21)+(#REF!*$P$25)+(#REF!*$P$27)+(#REF!*$P$29)+(#REF!*#REF!)+(#REF!*#REF!)+(#REF!*#REF!)+(#REF!*#REF!)+(#REF!*#REF!)+(#REF!*#REF!)</f>
        <v>#REF!</v>
      </c>
      <c r="V37" s="38" t="e">
        <f>+(#REF!*$P$15)+(#REF!*$P$17)+(#REF!*$P$19)+(#REF!*$P$21)+(#REF!*$P$25)+(#REF!*$P$27)+(#REF!*$P$29)+(#REF!*#REF!)+(#REF!*#REF!)+(#REF!*#REF!)+(#REF!*#REF!)+(#REF!*#REF!)+(#REF!*#REF!)</f>
        <v>#REF!</v>
      </c>
      <c r="W37" s="38" t="e">
        <f>+(#REF!*$P$15)+(#REF!*$P$17)+(#REF!*$P$19)+(#REF!*$P$21)+(#REF!*$P$25)+(#REF!*$P$27)+(#REF!*$P$29)+(#REF!*#REF!)+(#REF!*#REF!)+(#REF!*#REF!)+(#REF!*#REF!)+(#REF!*#REF!)+(#REF!*#REF!)</f>
        <v>#REF!</v>
      </c>
      <c r="X37" s="38" t="e">
        <f>+(#REF!*$P$15)+(#REF!*$P$17)+(#REF!*$P$19)+(#REF!*$P$21)+(#REF!*$P$25)+(#REF!*$P$27)+(#REF!*$P$29)+(#REF!*#REF!)+(#REF!*#REF!)+(#REF!*#REF!)+(#REF!*#REF!)+(#REF!*#REF!)+(#REF!*#REF!)</f>
        <v>#REF!</v>
      </c>
      <c r="Y37" s="38" t="e">
        <f>+(#REF!*$P$15)+(#REF!*$P$17)+(#REF!*$P$19)+(#REF!*$P$21)+(#REF!*$P$25)+(#REF!*$P$27)+(#REF!*$P$29)+(#REF!*#REF!)+(#REF!*#REF!)+(#REF!*#REF!)+(#REF!*#REF!)+(#REF!*#REF!)+(#REF!*#REF!)</f>
        <v>#REF!</v>
      </c>
      <c r="Z37" s="38" t="e">
        <f>+(#REF!*$P$15)+(#REF!*$P$17)+(#REF!*$P$19)+(#REF!*$P$21)+(#REF!*$P$25)+(#REF!*$P$27)+(#REF!*$P$29)+(#REF!*#REF!)+(#REF!*#REF!)+(#REF!*#REF!)+(#REF!*#REF!)+(#REF!*#REF!)+(#REF!*#REF!)</f>
        <v>#REF!</v>
      </c>
      <c r="AA37" s="38" t="e">
        <f>+(#REF!*$P$15)+(#REF!*$P$17)+(#REF!*$P$19)+(#REF!*$P$21)+(#REF!*$P$25)+(#REF!*$P$27)+(#REF!*$P$29)+(#REF!*#REF!)+(#REF!*#REF!)+(#REF!*#REF!)+(#REF!*#REF!)+(#REF!*#REF!)+(#REF!*#REF!)</f>
        <v>#REF!</v>
      </c>
      <c r="AB37" s="39" t="e">
        <f>+(#REF!*$P$15)+(#REF!*$P$17)+(#REF!*$P$19)+(#REF!*$P$21)+(#REF!*$P$25)+(#REF!*$P$27)+(#REF!*$P$29)+(#REF!*#REF!)+(#REF!*#REF!)+(#REF!*#REF!)+(#REF!*#REF!)+(#REF!*#REF!)+(#REF!*#REF!)</f>
        <v>#REF!</v>
      </c>
      <c r="AC37" s="38" t="e">
        <f>+(#REF!*$P$15)+(#REF!*$P$17)+(#REF!*$P$19)+(#REF!*$P$21)+(#REF!*$P$25)+(#REF!*$P$27)+(#REF!*$P$29)+(#REF!*#REF!)+(#REF!*#REF!)+(#REF!*#REF!)+(#REF!*#REF!)+(#REF!*#REF!)+(#REF!*#REF!)</f>
        <v>#REF!</v>
      </c>
      <c r="AD37" s="35"/>
    </row>
    <row r="38" spans="4:30" ht="30" hidden="1" customHeight="1" x14ac:dyDescent="0.35">
      <c r="H38" s="36" t="s">
        <v>112</v>
      </c>
      <c r="I38" s="53"/>
      <c r="J38" s="38"/>
      <c r="K38" s="38"/>
      <c r="L38" s="38"/>
      <c r="M38" s="38"/>
      <c r="N38" s="38"/>
      <c r="O38" s="38" t="e">
        <f>SUM(O37:O37)</f>
        <v>#REF!</v>
      </c>
      <c r="P38" s="39"/>
      <c r="Q38" s="38"/>
      <c r="R38" s="38"/>
      <c r="S38" s="38" t="e">
        <f>SUM(P37:S37)</f>
        <v>#REF!</v>
      </c>
      <c r="T38" s="38"/>
      <c r="U38" s="38"/>
      <c r="V38" s="38"/>
      <c r="W38" s="38" t="e">
        <f>SUM(T37:W37)</f>
        <v>#REF!</v>
      </c>
      <c r="X38" s="38"/>
      <c r="Y38" s="38"/>
      <c r="Z38" s="38"/>
      <c r="AA38" s="38" t="e">
        <f>SUM(X37:AA37)</f>
        <v>#REF!</v>
      </c>
      <c r="AB38" s="39"/>
      <c r="AC38" s="38"/>
      <c r="AD38" s="35"/>
    </row>
    <row r="39" spans="4:30" ht="30" hidden="1" customHeight="1" x14ac:dyDescent="0.35">
      <c r="H39" s="36" t="s">
        <v>113</v>
      </c>
      <c r="I39" s="43"/>
      <c r="J39" s="38"/>
      <c r="K39" s="38"/>
      <c r="L39" s="38"/>
      <c r="M39" s="38"/>
      <c r="N39" s="38"/>
      <c r="O39" s="38" t="e">
        <f>+#REF!+O38</f>
        <v>#REF!</v>
      </c>
      <c r="P39" s="39"/>
      <c r="Q39" s="38"/>
      <c r="R39" s="38"/>
      <c r="S39" s="44"/>
      <c r="T39" s="40"/>
      <c r="U39" s="40"/>
      <c r="V39" s="40"/>
      <c r="W39" s="40"/>
      <c r="X39" s="40"/>
      <c r="Y39" s="40"/>
      <c r="Z39" s="40"/>
      <c r="AA39" s="40" t="e">
        <f>+S38+W38+AA38</f>
        <v>#REF!</v>
      </c>
      <c r="AB39" s="41"/>
      <c r="AC39" s="40"/>
      <c r="AD39" s="42"/>
    </row>
    <row r="40" spans="4:30" ht="30" hidden="1" customHeight="1" x14ac:dyDescent="0.35">
      <c r="H40" s="54" t="s">
        <v>114</v>
      </c>
      <c r="I40" s="46"/>
      <c r="J40" s="47"/>
      <c r="K40" s="47"/>
      <c r="L40" s="47"/>
      <c r="M40" s="47"/>
      <c r="N40" s="47"/>
      <c r="O40" s="47"/>
      <c r="P40" s="48"/>
      <c r="Q40" s="47"/>
      <c r="R40" s="47"/>
      <c r="S40" s="49"/>
      <c r="T40" s="50"/>
      <c r="U40" s="50"/>
      <c r="V40" s="50"/>
      <c r="W40" s="50"/>
      <c r="X40" s="50"/>
      <c r="Y40" s="50"/>
      <c r="Z40" s="50"/>
      <c r="AA40" s="50" t="e">
        <f>+O39+AA39</f>
        <v>#REF!</v>
      </c>
      <c r="AB40" s="51"/>
      <c r="AC40" s="55"/>
      <c r="AD40" s="42"/>
    </row>
    <row r="41" spans="4:30" ht="30" hidden="1" customHeight="1" x14ac:dyDescent="0.35">
      <c r="H41" s="265" t="s">
        <v>115</v>
      </c>
      <c r="I41" s="265"/>
      <c r="J41" s="56"/>
      <c r="K41" s="56"/>
      <c r="L41" s="56"/>
      <c r="M41" s="56"/>
      <c r="N41" s="56" t="e">
        <f>+N33/N37</f>
        <v>#REF!</v>
      </c>
      <c r="O41" s="57" t="e">
        <f>+(N33+#REF!+#REF!+#REF!+#REF!+#REF!+#REF!+O33)/(N37+#REF!+#REF!+#REF!+#REF!+#REF!+#REF!+O37)</f>
        <v>#REF!</v>
      </c>
      <c r="P41" s="58" t="e">
        <f>+(N33+#REF!+#REF!+#REF!+#REF!+#REF!+#REF!+O33+P33)/(N37+#REF!+#REF!+#REF!+#REF!+#REF!+#REF!+O37+P37)</f>
        <v>#REF!</v>
      </c>
      <c r="Q41" s="56" t="e">
        <f>+(N33+#REF!+#REF!+#REF!+#REF!+#REF!+#REF!+O33+P33+Q33)/(N37+#REF!+#REF!+#REF!+#REF!+#REF!+#REF!+O37+P37+Q37)</f>
        <v>#REF!</v>
      </c>
      <c r="R41" s="56" t="e">
        <f>+(N33+#REF!+#REF!+#REF!+#REF!+#REF!+#REF!+O33+P33+Q33+R33)/(N37+#REF!+#REF!+#REF!+#REF!+#REF!+#REF!+O37+P37+Q37+R37)</f>
        <v>#REF!</v>
      </c>
      <c r="S41" s="57" t="e">
        <f>+(N33+#REF!+#REF!+#REF!+#REF!+#REF!+#REF!+O33+P33+Q33+R33+S33)/(N37+#REF!+#REF!+#REF!+#REF!+#REF!+#REF!+O37+P37+Q37+R37+S37)</f>
        <v>#REF!</v>
      </c>
      <c r="T41" s="56" t="e">
        <f>+(N33+#REF!+#REF!+#REF!+#REF!+#REF!+#REF!+O33+P33+Q33+R33+S33+T33)/(N37+#REF!+#REF!+#REF!+#REF!+#REF!+#REF!+O37+P37+Q37+R37+S37+T37)</f>
        <v>#REF!</v>
      </c>
      <c r="U41" s="56" t="e">
        <f>+(N33+#REF!+#REF!+#REF!+#REF!+#REF!+#REF!+O33+P33+Q33+R33+S33+T33+U33)/(N37+#REF!+#REF!+#REF!+#REF!+#REF!+#REF!+O37+P37+Q37+R37+S37+T37+U37)</f>
        <v>#REF!</v>
      </c>
      <c r="V41" s="56" t="e">
        <f>+(N33+#REF!+#REF!+#REF!+#REF!+#REF!+#REF!+O33+P33+Q33+R33+S33+T33+U33+V33)/(N37+#REF!+#REF!+#REF!+#REF!+#REF!+#REF!+O37+P37+Q37+R37+S37+T37+U37+V37)</f>
        <v>#REF!</v>
      </c>
      <c r="W41" s="57" t="e">
        <f>+(N33+#REF!+#REF!+#REF!+#REF!+#REF!+#REF!+O33+P33+Q33+R33+S33+T33+U33+V33+W33)/(N37+#REF!+#REF!+#REF!+#REF!+#REF!+#REF!+O37+P37+Q37+R37+S37+T37+U37+V37+W37)</f>
        <v>#REF!</v>
      </c>
      <c r="X41" s="56" t="e">
        <f>+(N33+#REF!+#REF!+#REF!+#REF!+#REF!+#REF!+O33+P33+Q33+R33+S33+T33+U33+V33+W33+X33)/(N37+#REF!+#REF!+#REF!+#REF!+#REF!+#REF!+O37+P37+Q37+R37+S37+T37+U37+V37+W37+X37)</f>
        <v>#REF!</v>
      </c>
      <c r="Y41" s="56" t="e">
        <f>+(N33+#REF!+#REF!+#REF!+#REF!+#REF!+#REF!+O33+P33+Q33+R33+S33+T33+U33+V33+W33+X33+Y33)/(N37+#REF!+#REF!+#REF!+#REF!+#REF!+#REF!+O37+P37+Q37+R37+S37+T37+U37+V37+W37+X37+Y37)</f>
        <v>#REF!</v>
      </c>
      <c r="Z41" s="56" t="e">
        <f>+(N33+#REF!+#REF!+#REF!+#REF!+#REF!+#REF!+O33+P33+Q33+R33+S33+T33+U33+V33+W33+X33+Y33+Z33)/(N37+#REF!+#REF!+#REF!+#REF!+#REF!+#REF!+O37+P37+Q37+R37+S37+T37+U37+V37+W37+X37+Y37+Z37)</f>
        <v>#REF!</v>
      </c>
      <c r="AA41" s="57" t="e">
        <f>+(N33+#REF!+#REF!+#REF!+#REF!+#REF!+#REF!+O33+P33+Q33+R33+S33+T33+U33+V33+W33+X33+Y33+Z33+AA33)/(N37+#REF!+#REF!+#REF!+#REF!+#REF!+#REF!+O37+P37+Q37+R37+S37+T37+U37+V37+W37+X37+Y37+Z37+AA37)</f>
        <v>#REF!</v>
      </c>
      <c r="AB41" s="58" t="e">
        <f>+(N33+#REF!+#REF!+#REF!+#REF!+#REF!+#REF!+O33+P33+Q33+R33+S33+T33+U33+V33+W33+X33+Y33+Z33+AA33+AB33)/(N37+#REF!+#REF!+#REF!+#REF!+#REF!+#REF!+O37+P37+Q37+R37+S37+T37+U37+V37+W37+X37+Y37+Z37+AA37+AB37)</f>
        <v>#REF!</v>
      </c>
      <c r="AC41" s="56" t="e">
        <f>+(N33+#REF!+#REF!+#REF!+#REF!+#REF!+#REF!+O33+P33+Q33+R33+S33+T33+U33+V33+W33+X33+Y33+Z33+AA33+AB33+AC33)/(N37+#REF!+#REF!+#REF!+#REF!+#REF!+#REF!+O37+P37+Q37+R37+S37+T37+U37+V37+W37+X37+Y37+Z37+AA37+AB37+AC37)</f>
        <v>#REF!</v>
      </c>
      <c r="AD41" s="59"/>
    </row>
    <row r="42" spans="4:30" ht="30" hidden="1" customHeight="1" x14ac:dyDescent="0.35">
      <c r="H42" s="266" t="s">
        <v>116</v>
      </c>
      <c r="I42" s="266"/>
      <c r="J42" s="57"/>
      <c r="K42" s="57"/>
      <c r="L42" s="57"/>
      <c r="M42" s="57"/>
      <c r="N42" s="57" t="e">
        <f>+N33/$F$33</f>
        <v>#REF!</v>
      </c>
      <c r="O42" s="57" t="e">
        <f>+(N33+#REF!+#REF!+#REF!+#REF!+#REF!+#REF!+O33)/$F$33</f>
        <v>#REF!</v>
      </c>
      <c r="P42" s="60" t="e">
        <f>+(N33+#REF!+#REF!+#REF!+#REF!+#REF!+#REF!+O33+P33)/$F$33</f>
        <v>#REF!</v>
      </c>
      <c r="Q42" s="57" t="e">
        <f>+(N33+#REF!+#REF!+#REF!+#REF!+#REF!+#REF!+O33+P33+Q33)/$F$33</f>
        <v>#REF!</v>
      </c>
      <c r="R42" s="57" t="e">
        <f>+(N33+#REF!+#REF!+#REF!+#REF!+#REF!+#REF!+O33+P33+Q33+R33)/$F$33</f>
        <v>#REF!</v>
      </c>
      <c r="S42" s="57" t="e">
        <f>+(N33+#REF!+#REF!+#REF!+#REF!+#REF!+#REF!+O33+P33+Q33+R33+S33)/$F$33</f>
        <v>#REF!</v>
      </c>
      <c r="T42" s="57" t="e">
        <f>+(N33+#REF!+#REF!+#REF!+#REF!+#REF!+#REF!+O33+P33+Q33+R33+S33+T33)/$F$33</f>
        <v>#REF!</v>
      </c>
      <c r="U42" s="57" t="e">
        <f>+(N33+#REF!+#REF!+#REF!+#REF!+#REF!+#REF!+O33+P33+Q33+R33+S33+T33+U33)/$F$33</f>
        <v>#REF!</v>
      </c>
      <c r="V42" s="57" t="e">
        <f>+(N33+#REF!+#REF!+#REF!+#REF!+#REF!+#REF!+O33+P33+Q33+R33+S33+T33+U33+V33)/$F$33</f>
        <v>#REF!</v>
      </c>
      <c r="W42" s="57" t="e">
        <f>+(N33+#REF!+#REF!+#REF!+#REF!+#REF!+#REF!+O33+P33+Q33+R33+S33+T33+U33+V33+W33)/$F$33</f>
        <v>#REF!</v>
      </c>
      <c r="X42" s="57" t="e">
        <f>+(N33+#REF!+#REF!+#REF!+#REF!+#REF!+#REF!+O33+P33+Q33+R33+S33+T33+U33+V33+W33+X33)/$F$33</f>
        <v>#REF!</v>
      </c>
      <c r="Y42" s="57" t="e">
        <f>+(N33+#REF!+#REF!+#REF!+#REF!+#REF!+#REF!+O33+P33+Q33+R33+S33+T33+U33+V33+W33+X33+Y33)/$F$33</f>
        <v>#REF!</v>
      </c>
      <c r="Z42" s="57" t="e">
        <f>+(N33+#REF!+#REF!+#REF!+#REF!+#REF!+#REF!+O33+P33+Q33+R33+S33+T33+U33+V33+W33+X33+Y33+Z33)/$F$33</f>
        <v>#REF!</v>
      </c>
      <c r="AA42" s="57" t="e">
        <f>+(N33+#REF!+#REF!+#REF!+#REF!+#REF!+#REF!+O33+P33+Q33+R33+S33+T33+U33+V33+W33+X33+Y33+Z33+AA33)/$F$33</f>
        <v>#REF!</v>
      </c>
      <c r="AB42" s="60" t="e">
        <f>+(N33+#REF!+#REF!+#REF!+#REF!+#REF!+#REF!+O33+P33+Q33+R33+S33+T33+U33+V33+W33+X33+Y33+Z33+AA33+AB33)/$F$33</f>
        <v>#REF!</v>
      </c>
      <c r="AC42" s="57" t="e">
        <f>+(N33+#REF!+#REF!+#REF!+#REF!+#REF!+#REF!+O33+P33+Q33+R33+S33+T33+U33+V33+W33+X33+Y33+Z33+AA33+AB33+AC33)/$F$33</f>
        <v>#REF!</v>
      </c>
      <c r="AD42" s="61"/>
    </row>
    <row r="43" spans="4:30" ht="30" hidden="1" customHeight="1" x14ac:dyDescent="0.35">
      <c r="H43" s="265" t="s">
        <v>117</v>
      </c>
      <c r="I43" s="265"/>
      <c r="J43" s="62"/>
      <c r="K43" s="62"/>
      <c r="L43" s="62"/>
      <c r="M43" s="62"/>
      <c r="N43" s="62"/>
      <c r="O43" s="57" t="e">
        <f>+O34/O38</f>
        <v>#REF!</v>
      </c>
      <c r="P43" s="63"/>
      <c r="Q43" s="62"/>
      <c r="R43" s="62"/>
      <c r="S43" s="57" t="e">
        <f>+S34/S38</f>
        <v>#REF!</v>
      </c>
      <c r="T43" s="62"/>
      <c r="U43" s="62"/>
      <c r="V43" s="62"/>
      <c r="W43" s="57" t="e">
        <f>+W34/W38</f>
        <v>#REF!</v>
      </c>
      <c r="X43" s="62"/>
      <c r="Y43" s="62"/>
      <c r="Z43" s="62"/>
      <c r="AA43" s="57" t="e">
        <f>+AA34/AA38</f>
        <v>#REF!</v>
      </c>
      <c r="AB43" s="63"/>
      <c r="AC43" s="62"/>
      <c r="AD43" s="64"/>
    </row>
    <row r="44" spans="4:30" ht="30" hidden="1" customHeight="1" x14ac:dyDescent="0.35">
      <c r="H44" s="266" t="s">
        <v>118</v>
      </c>
      <c r="I44" s="266"/>
      <c r="J44" s="62"/>
      <c r="K44" s="62"/>
      <c r="L44" s="62"/>
      <c r="M44" s="62"/>
      <c r="N44" s="62"/>
      <c r="O44" s="57" t="e">
        <f>+(#REF!+O34)/$F$33</f>
        <v>#REF!</v>
      </c>
      <c r="P44" s="63"/>
      <c r="Q44" s="62"/>
      <c r="R44" s="62"/>
      <c r="S44" s="57" t="e">
        <f>+(#REF!+O34+S34)/$F$33</f>
        <v>#REF!</v>
      </c>
      <c r="T44" s="62"/>
      <c r="U44" s="62"/>
      <c r="V44" s="62"/>
      <c r="W44" s="57" t="e">
        <f>+(#REF!+O34+S34+W34)/$F$33</f>
        <v>#REF!</v>
      </c>
      <c r="X44" s="62"/>
      <c r="Y44" s="62"/>
      <c r="Z44" s="62"/>
      <c r="AA44" s="57" t="e">
        <f>+(#REF!+O34+S34+W34+AA34)/$F$33</f>
        <v>#REF!</v>
      </c>
      <c r="AB44" s="63"/>
      <c r="AC44" s="62"/>
      <c r="AD44" s="64"/>
    </row>
    <row r="45" spans="4:30" ht="30" hidden="1" customHeight="1" x14ac:dyDescent="0.35">
      <c r="H45" s="265" t="s">
        <v>119</v>
      </c>
      <c r="I45" s="265"/>
      <c r="J45" s="62"/>
      <c r="K45" s="62"/>
      <c r="L45" s="62"/>
      <c r="M45" s="62"/>
      <c r="N45" s="62"/>
      <c r="O45" s="57" t="e">
        <f>+(#REF!+O34)/(#REF!+O38)</f>
        <v>#REF!</v>
      </c>
      <c r="P45" s="63"/>
      <c r="Q45" s="62"/>
      <c r="R45" s="62"/>
      <c r="S45" s="62"/>
      <c r="T45" s="62"/>
      <c r="U45" s="62"/>
      <c r="V45" s="62"/>
      <c r="W45" s="62"/>
      <c r="X45" s="62"/>
      <c r="Y45" s="62"/>
      <c r="Z45" s="62"/>
      <c r="AA45" s="57" t="e">
        <f>+(#REF!+O34+S34+W34+AA34)/(#REF!+O38+S38+W38+AA38)</f>
        <v>#REF!</v>
      </c>
      <c r="AB45" s="63"/>
      <c r="AC45" s="62"/>
      <c r="AD45" s="64"/>
    </row>
    <row r="46" spans="4:30" ht="30" hidden="1" customHeight="1" x14ac:dyDescent="0.35">
      <c r="H46" s="265" t="s">
        <v>120</v>
      </c>
      <c r="I46" s="265"/>
      <c r="J46" s="62"/>
      <c r="K46" s="62"/>
      <c r="L46" s="62"/>
      <c r="M46" s="62"/>
      <c r="N46" s="62"/>
      <c r="O46" s="57" t="e">
        <f>+(#REF!+O34)/$F$33</f>
        <v>#REF!</v>
      </c>
      <c r="P46" s="63"/>
      <c r="Q46" s="62"/>
      <c r="R46" s="62"/>
      <c r="S46" s="62"/>
      <c r="T46" s="62"/>
      <c r="U46" s="62"/>
      <c r="V46" s="62"/>
      <c r="W46" s="62"/>
      <c r="X46" s="62"/>
      <c r="Y46" s="62"/>
      <c r="Z46" s="62"/>
      <c r="AA46" s="57" t="e">
        <f>+(+#REF!+O34+S34+W34+AA34)/$F$33</f>
        <v>#REF!</v>
      </c>
      <c r="AB46" s="63"/>
      <c r="AC46" s="62"/>
      <c r="AD46" s="64"/>
    </row>
    <row r="47" spans="4:30" ht="15" hidden="1" customHeight="1" x14ac:dyDescent="0.35"/>
    <row r="48" spans="4:30" ht="35.15" hidden="1" customHeight="1" x14ac:dyDescent="0.35">
      <c r="H48" s="65"/>
      <c r="I48" s="66" t="e">
        <f>+#REF!</f>
        <v>#REF!</v>
      </c>
      <c r="J48" s="67"/>
      <c r="K48" s="67"/>
      <c r="L48" s="67"/>
      <c r="M48" s="67"/>
      <c r="N48" s="67"/>
    </row>
    <row r="49" spans="2:14" ht="35.15" hidden="1" customHeight="1" x14ac:dyDescent="0.35">
      <c r="H49" s="65"/>
      <c r="I49" s="68">
        <f>+F33</f>
        <v>1</v>
      </c>
      <c r="J49" s="67"/>
      <c r="K49" s="67"/>
      <c r="L49" s="67"/>
      <c r="M49" s="67"/>
      <c r="N49" s="67"/>
    </row>
    <row r="50" spans="2:14" ht="35.15" hidden="1" customHeight="1" x14ac:dyDescent="0.35">
      <c r="H50" s="65"/>
      <c r="I50" s="69" t="e">
        <f>+I48/I49</f>
        <v>#REF!</v>
      </c>
      <c r="J50" s="67"/>
      <c r="K50" s="67"/>
      <c r="L50" s="67"/>
      <c r="M50" s="67"/>
      <c r="N50" s="67"/>
    </row>
    <row r="51" spans="2:14" ht="15" customHeight="1" x14ac:dyDescent="0.35">
      <c r="J51" s="67"/>
      <c r="K51" s="67"/>
      <c r="L51" s="67"/>
      <c r="M51" s="67"/>
      <c r="N51" s="67"/>
    </row>
    <row r="52" spans="2:14" ht="15" hidden="1" customHeight="1" x14ac:dyDescent="0.35">
      <c r="B52" s="270" t="s">
        <v>26</v>
      </c>
      <c r="C52" s="270" t="s">
        <v>27</v>
      </c>
      <c r="D52" s="270" t="s">
        <v>28</v>
      </c>
      <c r="E52" s="270" t="s">
        <v>29</v>
      </c>
      <c r="F52" s="270" t="s">
        <v>30</v>
      </c>
      <c r="G52" s="268" t="s">
        <v>31</v>
      </c>
      <c r="M52" s="268" t="s">
        <v>121</v>
      </c>
    </row>
    <row r="53" spans="2:14" ht="15" hidden="1" customHeight="1" x14ac:dyDescent="0.35">
      <c r="B53" s="269"/>
      <c r="C53" s="269"/>
      <c r="D53" s="269"/>
      <c r="E53" s="269"/>
      <c r="F53" s="269"/>
      <c r="G53" s="269"/>
      <c r="M53" s="269"/>
    </row>
    <row r="54" spans="2:14" ht="15" hidden="1" customHeight="1" x14ac:dyDescent="0.35">
      <c r="B54" s="13" t="s">
        <v>70</v>
      </c>
      <c r="C54" s="13" t="s">
        <v>122</v>
      </c>
      <c r="D54" s="13" t="s">
        <v>90</v>
      </c>
      <c r="E54" s="13" t="s">
        <v>91</v>
      </c>
      <c r="F54" s="13" t="s">
        <v>123</v>
      </c>
      <c r="G54" s="13" t="s">
        <v>124</v>
      </c>
      <c r="M54" s="13" t="s">
        <v>125</v>
      </c>
    </row>
    <row r="55" spans="2:14" ht="15" hidden="1" customHeight="1" x14ac:dyDescent="0.35">
      <c r="B55" s="13" t="s">
        <v>94</v>
      </c>
      <c r="C55" s="13" t="s">
        <v>89</v>
      </c>
      <c r="D55" s="13" t="s">
        <v>126</v>
      </c>
      <c r="E55" s="13" t="s">
        <v>127</v>
      </c>
      <c r="F55" s="13" t="s">
        <v>128</v>
      </c>
      <c r="G55" s="13" t="s">
        <v>129</v>
      </c>
      <c r="M55" s="13" t="s">
        <v>67</v>
      </c>
    </row>
    <row r="56" spans="2:14" ht="15" hidden="1" customHeight="1" x14ac:dyDescent="0.35">
      <c r="B56" s="13" t="s">
        <v>58</v>
      </c>
      <c r="C56" s="13" t="s">
        <v>77</v>
      </c>
      <c r="D56" s="13" t="s">
        <v>60</v>
      </c>
      <c r="E56" s="13" t="s">
        <v>130</v>
      </c>
      <c r="F56" s="13" t="s">
        <v>131</v>
      </c>
      <c r="G56" s="13" t="s">
        <v>132</v>
      </c>
      <c r="M56" s="13" t="s">
        <v>133</v>
      </c>
    </row>
    <row r="57" spans="2:14" ht="15" hidden="1" customHeight="1" x14ac:dyDescent="0.35">
      <c r="B57" s="13" t="s">
        <v>76</v>
      </c>
      <c r="C57" s="13" t="s">
        <v>82</v>
      </c>
      <c r="D57" s="13" t="s">
        <v>134</v>
      </c>
      <c r="E57" s="13" t="s">
        <v>135</v>
      </c>
      <c r="F57" s="13" t="s">
        <v>136</v>
      </c>
      <c r="G57" s="13" t="s">
        <v>137</v>
      </c>
    </row>
    <row r="58" spans="2:14" ht="15" hidden="1" customHeight="1" x14ac:dyDescent="0.35">
      <c r="B58" s="13" t="s">
        <v>81</v>
      </c>
      <c r="C58" s="13" t="s">
        <v>98</v>
      </c>
      <c r="D58" s="13" t="s">
        <v>71</v>
      </c>
      <c r="E58" s="13" t="s">
        <v>138</v>
      </c>
      <c r="F58" s="13" t="s">
        <v>139</v>
      </c>
      <c r="G58" s="13" t="s">
        <v>140</v>
      </c>
    </row>
    <row r="59" spans="2:14" ht="15" hidden="1" customHeight="1" x14ac:dyDescent="0.35">
      <c r="B59" s="13" t="s">
        <v>141</v>
      </c>
      <c r="C59" s="13" t="s">
        <v>142</v>
      </c>
      <c r="D59" s="13" t="s">
        <v>78</v>
      </c>
      <c r="E59" s="13" t="s">
        <v>104</v>
      </c>
      <c r="F59" s="13" t="s">
        <v>143</v>
      </c>
      <c r="G59" s="13" t="s">
        <v>87</v>
      </c>
    </row>
    <row r="60" spans="2:14" ht="15" hidden="1" customHeight="1" x14ac:dyDescent="0.35">
      <c r="B60" s="13" t="s">
        <v>144</v>
      </c>
      <c r="C60" s="13" t="s">
        <v>145</v>
      </c>
      <c r="D60" s="13" t="s">
        <v>146</v>
      </c>
      <c r="E60" s="13" t="s">
        <v>83</v>
      </c>
      <c r="F60" s="13" t="s">
        <v>147</v>
      </c>
      <c r="G60" s="13" t="s">
        <v>148</v>
      </c>
    </row>
    <row r="61" spans="2:14" ht="15" hidden="1" customHeight="1" x14ac:dyDescent="0.35">
      <c r="B61" s="13" t="s">
        <v>149</v>
      </c>
      <c r="C61" s="13" t="s">
        <v>150</v>
      </c>
      <c r="E61" s="13" t="s">
        <v>86</v>
      </c>
      <c r="F61" s="13" t="s">
        <v>151</v>
      </c>
      <c r="G61" s="13" t="s">
        <v>105</v>
      </c>
    </row>
    <row r="62" spans="2:14" ht="15" hidden="1" customHeight="1" x14ac:dyDescent="0.35">
      <c r="C62" s="13" t="s">
        <v>103</v>
      </c>
      <c r="E62" s="13" t="s">
        <v>95</v>
      </c>
      <c r="F62" s="13" t="s">
        <v>152</v>
      </c>
      <c r="G62" s="13" t="s">
        <v>73</v>
      </c>
    </row>
    <row r="63" spans="2:14" ht="15" hidden="1" customHeight="1" x14ac:dyDescent="0.35">
      <c r="C63" s="13" t="s">
        <v>59</v>
      </c>
      <c r="E63" s="13" t="s">
        <v>153</v>
      </c>
      <c r="F63" s="13" t="s">
        <v>154</v>
      </c>
      <c r="G63" s="13" t="s">
        <v>92</v>
      </c>
    </row>
    <row r="64" spans="2:14" ht="15" hidden="1" customHeight="1" x14ac:dyDescent="0.35">
      <c r="E64" s="13" t="s">
        <v>155</v>
      </c>
      <c r="F64" s="13" t="s">
        <v>156</v>
      </c>
      <c r="G64" s="13" t="s">
        <v>100</v>
      </c>
    </row>
    <row r="65" spans="5:7" ht="15" hidden="1" customHeight="1" x14ac:dyDescent="0.35">
      <c r="E65" s="13" t="s">
        <v>157</v>
      </c>
      <c r="F65" s="13" t="s">
        <v>158</v>
      </c>
      <c r="G65" s="13" t="s">
        <v>159</v>
      </c>
    </row>
    <row r="66" spans="5:7" ht="15" hidden="1" customHeight="1" x14ac:dyDescent="0.35">
      <c r="E66" s="13" t="s">
        <v>61</v>
      </c>
      <c r="G66" s="13" t="s">
        <v>160</v>
      </c>
    </row>
    <row r="67" spans="5:7" ht="15" hidden="1" customHeight="1" x14ac:dyDescent="0.35">
      <c r="E67" s="13" t="s">
        <v>161</v>
      </c>
      <c r="G67" s="13" t="s">
        <v>162</v>
      </c>
    </row>
    <row r="68" spans="5:7" ht="15" hidden="1" customHeight="1" x14ac:dyDescent="0.35">
      <c r="E68" s="13" t="s">
        <v>72</v>
      </c>
      <c r="G68" s="13" t="s">
        <v>163</v>
      </c>
    </row>
    <row r="69" spans="5:7" ht="15" hidden="1" customHeight="1" x14ac:dyDescent="0.35">
      <c r="E69" s="13" t="s">
        <v>99</v>
      </c>
      <c r="G69" s="13" t="s">
        <v>164</v>
      </c>
    </row>
    <row r="70" spans="5:7" ht="15" hidden="1" customHeight="1" x14ac:dyDescent="0.35">
      <c r="E70" s="13" t="s">
        <v>165</v>
      </c>
      <c r="G70" s="13" t="s">
        <v>166</v>
      </c>
    </row>
    <row r="71" spans="5:7" ht="15" hidden="1" customHeight="1" x14ac:dyDescent="0.35">
      <c r="E71" s="13" t="s">
        <v>79</v>
      </c>
      <c r="G71" s="13" t="s">
        <v>167</v>
      </c>
    </row>
    <row r="72" spans="5:7" ht="15" hidden="1" customHeight="1" x14ac:dyDescent="0.35">
      <c r="E72" s="13" t="s">
        <v>168</v>
      </c>
      <c r="G72" s="13" t="s">
        <v>169</v>
      </c>
    </row>
    <row r="73" spans="5:7" ht="15" hidden="1" customHeight="1" x14ac:dyDescent="0.35">
      <c r="G73" s="13" t="s">
        <v>170</v>
      </c>
    </row>
    <row r="74" spans="5:7" ht="15" hidden="1" customHeight="1" x14ac:dyDescent="0.35">
      <c r="G74" s="13" t="s">
        <v>171</v>
      </c>
    </row>
    <row r="75" spans="5:7" ht="15" hidden="1" customHeight="1" x14ac:dyDescent="0.35">
      <c r="G75" s="13" t="s">
        <v>172</v>
      </c>
    </row>
    <row r="76" spans="5:7" ht="15" hidden="1" customHeight="1" x14ac:dyDescent="0.35">
      <c r="G76" s="13" t="s">
        <v>173</v>
      </c>
    </row>
    <row r="77" spans="5:7" ht="15" hidden="1" customHeight="1" x14ac:dyDescent="0.35">
      <c r="G77" s="13" t="s">
        <v>174</v>
      </c>
    </row>
    <row r="78" spans="5:7" ht="15" hidden="1" customHeight="1" x14ac:dyDescent="0.35">
      <c r="G78" s="13" t="s">
        <v>175</v>
      </c>
    </row>
    <row r="79" spans="5:7" ht="15" hidden="1" customHeight="1" x14ac:dyDescent="0.35">
      <c r="G79" s="13" t="s">
        <v>176</v>
      </c>
    </row>
    <row r="80" spans="5:7" ht="15" hidden="1" customHeight="1" x14ac:dyDescent="0.35">
      <c r="G80" s="13" t="s">
        <v>177</v>
      </c>
    </row>
    <row r="81" spans="7:7" ht="15" hidden="1" customHeight="1" x14ac:dyDescent="0.35">
      <c r="G81" s="13" t="s">
        <v>178</v>
      </c>
    </row>
    <row r="82" spans="7:7" ht="15" hidden="1" customHeight="1" x14ac:dyDescent="0.35">
      <c r="G82" s="13" t="s">
        <v>179</v>
      </c>
    </row>
    <row r="83" spans="7:7" ht="15" hidden="1" customHeight="1" x14ac:dyDescent="0.35">
      <c r="G83" s="13" t="s">
        <v>180</v>
      </c>
    </row>
    <row r="84" spans="7:7" ht="15" hidden="1" customHeight="1" x14ac:dyDescent="0.35">
      <c r="G84" s="13" t="s">
        <v>181</v>
      </c>
    </row>
    <row r="85" spans="7:7" ht="15" hidden="1" customHeight="1" x14ac:dyDescent="0.35">
      <c r="G85" s="13" t="s">
        <v>182</v>
      </c>
    </row>
    <row r="86" spans="7:7" ht="15" hidden="1" customHeight="1" x14ac:dyDescent="0.35">
      <c r="G86" s="13" t="s">
        <v>183</v>
      </c>
    </row>
    <row r="87" spans="7:7" ht="15" hidden="1" customHeight="1" x14ac:dyDescent="0.35">
      <c r="G87" s="13" t="s">
        <v>184</v>
      </c>
    </row>
    <row r="88" spans="7:7" ht="15" hidden="1" customHeight="1" x14ac:dyDescent="0.35">
      <c r="G88" s="13" t="s">
        <v>96</v>
      </c>
    </row>
    <row r="89" spans="7:7" ht="15" hidden="1" customHeight="1" x14ac:dyDescent="0.35">
      <c r="G89" s="13" t="s">
        <v>185</v>
      </c>
    </row>
    <row r="90" spans="7:7" ht="15" hidden="1" customHeight="1" x14ac:dyDescent="0.35">
      <c r="G90" s="13" t="s">
        <v>186</v>
      </c>
    </row>
    <row r="91" spans="7:7" ht="15" hidden="1" customHeight="1" x14ac:dyDescent="0.35">
      <c r="G91" s="13" t="s">
        <v>187</v>
      </c>
    </row>
    <row r="92" spans="7:7" ht="15" hidden="1" customHeight="1" x14ac:dyDescent="0.35">
      <c r="G92" s="13" t="s">
        <v>62</v>
      </c>
    </row>
    <row r="93" spans="7:7" ht="15" hidden="1" customHeight="1" x14ac:dyDescent="0.35">
      <c r="G93" s="13" t="s">
        <v>188</v>
      </c>
    </row>
    <row r="94" spans="7:7" ht="15" hidden="1" customHeight="1" x14ac:dyDescent="0.35">
      <c r="G94" s="13" t="s">
        <v>189</v>
      </c>
    </row>
    <row r="95" spans="7:7" ht="15" hidden="1" customHeight="1" x14ac:dyDescent="0.35">
      <c r="G95" s="13" t="s">
        <v>190</v>
      </c>
    </row>
    <row r="96" spans="7:7" ht="15" hidden="1" customHeight="1" x14ac:dyDescent="0.35">
      <c r="G96" s="13" t="s">
        <v>191</v>
      </c>
    </row>
    <row r="97" spans="7:7" ht="15" hidden="1" customHeight="1" x14ac:dyDescent="0.35">
      <c r="G97" s="13" t="s">
        <v>192</v>
      </c>
    </row>
    <row r="98" spans="7:7" ht="15" hidden="1" customHeight="1" x14ac:dyDescent="0.35">
      <c r="G98" s="13" t="s">
        <v>193</v>
      </c>
    </row>
    <row r="99" spans="7:7" ht="15" hidden="1" customHeight="1" x14ac:dyDescent="0.35">
      <c r="G99" s="13" t="s">
        <v>194</v>
      </c>
    </row>
    <row r="100" spans="7:7" ht="15" hidden="1" customHeight="1" x14ac:dyDescent="0.35">
      <c r="G100" s="13" t="s">
        <v>195</v>
      </c>
    </row>
    <row r="101" spans="7:7" ht="15" hidden="1" customHeight="1" x14ac:dyDescent="0.35">
      <c r="G101" s="13" t="s">
        <v>196</v>
      </c>
    </row>
    <row r="102" spans="7:7" ht="15" hidden="1" customHeight="1" x14ac:dyDescent="0.35">
      <c r="G102" s="13" t="s">
        <v>197</v>
      </c>
    </row>
    <row r="103" spans="7:7" ht="15" hidden="1" customHeight="1" x14ac:dyDescent="0.35">
      <c r="G103" s="13" t="s">
        <v>198</v>
      </c>
    </row>
    <row r="104" spans="7:7" ht="15" hidden="1" customHeight="1" x14ac:dyDescent="0.35">
      <c r="G104" s="13" t="s">
        <v>199</v>
      </c>
    </row>
    <row r="105" spans="7:7" ht="15" hidden="1" customHeight="1" x14ac:dyDescent="0.35">
      <c r="G105" s="13" t="s">
        <v>200</v>
      </c>
    </row>
    <row r="106" spans="7:7" ht="15" hidden="1" customHeight="1" x14ac:dyDescent="0.35">
      <c r="G106" s="13" t="s">
        <v>14</v>
      </c>
    </row>
    <row r="107" spans="7:7" ht="15" hidden="1" customHeight="1" x14ac:dyDescent="0.35">
      <c r="G107" s="13" t="s">
        <v>201</v>
      </c>
    </row>
    <row r="108" spans="7:7" ht="15" hidden="1" customHeight="1" x14ac:dyDescent="0.35">
      <c r="G108" s="13" t="s">
        <v>84</v>
      </c>
    </row>
    <row r="109" spans="7:7" ht="15" hidden="1" customHeight="1" x14ac:dyDescent="0.35">
      <c r="G109" s="13" t="s">
        <v>202</v>
      </c>
    </row>
    <row r="110" spans="7:7" ht="15" hidden="1" customHeight="1" x14ac:dyDescent="0.35">
      <c r="G110" s="13" t="s">
        <v>203</v>
      </c>
    </row>
    <row r="111" spans="7:7" ht="15" hidden="1" customHeight="1" x14ac:dyDescent="0.35">
      <c r="G111" s="13" t="s">
        <v>204</v>
      </c>
    </row>
    <row r="112" spans="7:7" ht="15" hidden="1" customHeight="1" x14ac:dyDescent="0.35">
      <c r="G112" s="13" t="s">
        <v>205</v>
      </c>
    </row>
    <row r="113" spans="7:7" ht="15" hidden="1" customHeight="1" x14ac:dyDescent="0.35">
      <c r="G113" s="13" t="s">
        <v>206</v>
      </c>
    </row>
  </sheetData>
  <sheetProtection algorithmName="SHA-512" hashValue="9utRqzjLMpnaZCcNho+HbsOt6lh9uBOAxnGfX6VT4DOywZ34lFKamZBgVTyMZprBJ/Y9OKS1oglVTmgZTcdBeQ==" saltValue="7p77c6l/UQADflu+tFyy6Q==" spinCount="100000" sheet="1" objects="1" scenarios="1"/>
  <protectedRanges>
    <protectedRange sqref="R14:AC14 AE14:AG31 R30:AC30 R28:AC28 R26:AC26 R24:AC24 R22:AC22 R20:AC20 R16:AC16 R18:AC18" name="Rango1"/>
  </protectedRanges>
  <autoFilter ref="A12:AG29" xr:uid="{00000000-0001-0000-0100-000000000000}"/>
  <mergeCells count="224">
    <mergeCell ref="R6:U10"/>
    <mergeCell ref="V6:Y10"/>
    <mergeCell ref="K12:K13"/>
    <mergeCell ref="L12:L13"/>
    <mergeCell ref="A1:C3"/>
    <mergeCell ref="D1:AG3"/>
    <mergeCell ref="A4:A5"/>
    <mergeCell ref="G4:G5"/>
    <mergeCell ref="A6:B10"/>
    <mergeCell ref="C6:D10"/>
    <mergeCell ref="E6:F10"/>
    <mergeCell ref="G6:G10"/>
    <mergeCell ref="H6:H10"/>
    <mergeCell ref="I6:I10"/>
    <mergeCell ref="AF6:AG10"/>
    <mergeCell ref="AF12:AF13"/>
    <mergeCell ref="B12:B13"/>
    <mergeCell ref="M12:M13"/>
    <mergeCell ref="N12:N13"/>
    <mergeCell ref="C12:C13"/>
    <mergeCell ref="D12:D13"/>
    <mergeCell ref="E12:E13"/>
    <mergeCell ref="F12:F13"/>
    <mergeCell ref="Z6:AC10"/>
    <mergeCell ref="AD6:AE10"/>
    <mergeCell ref="O12:O13"/>
    <mergeCell ref="P12:P13"/>
    <mergeCell ref="Q12:Q13"/>
    <mergeCell ref="R12:R13"/>
    <mergeCell ref="G12:G13"/>
    <mergeCell ref="H12:H13"/>
    <mergeCell ref="A11:F11"/>
    <mergeCell ref="G11:N11"/>
    <mergeCell ref="O11:AD11"/>
    <mergeCell ref="AE11:AG11"/>
    <mergeCell ref="J6:K10"/>
    <mergeCell ref="L6:L10"/>
    <mergeCell ref="M6:N10"/>
    <mergeCell ref="O6:Q10"/>
    <mergeCell ref="AB12:AB13"/>
    <mergeCell ref="AC12:AC13"/>
    <mergeCell ref="AD12:AD13"/>
    <mergeCell ref="S12:S13"/>
    <mergeCell ref="T12:T13"/>
    <mergeCell ref="U12:U13"/>
    <mergeCell ref="V12:V13"/>
    <mergeCell ref="W12:W13"/>
    <mergeCell ref="X12:X13"/>
    <mergeCell ref="A14:A15"/>
    <mergeCell ref="B14:B15"/>
    <mergeCell ref="C14:C15"/>
    <mergeCell ref="D14:D15"/>
    <mergeCell ref="E14:E15"/>
    <mergeCell ref="F14:F15"/>
    <mergeCell ref="Y12:Y13"/>
    <mergeCell ref="Z12:Z13"/>
    <mergeCell ref="AA12:AA13"/>
    <mergeCell ref="M14:M15"/>
    <mergeCell ref="N14:N15"/>
    <mergeCell ref="A12:A13"/>
    <mergeCell ref="AF16:AF17"/>
    <mergeCell ref="AG16:AG17"/>
    <mergeCell ref="G16:G17"/>
    <mergeCell ref="H16:H17"/>
    <mergeCell ref="I16:I17"/>
    <mergeCell ref="J16:J17"/>
    <mergeCell ref="K16:K17"/>
    <mergeCell ref="L16:L17"/>
    <mergeCell ref="AE14:AE15"/>
    <mergeCell ref="AF14:AF15"/>
    <mergeCell ref="AG14:AG15"/>
    <mergeCell ref="G14:G15"/>
    <mergeCell ref="H14:H15"/>
    <mergeCell ref="I14:I15"/>
    <mergeCell ref="J14:J15"/>
    <mergeCell ref="K14:K15"/>
    <mergeCell ref="L14:L15"/>
    <mergeCell ref="I12:I13"/>
    <mergeCell ref="J12:J13"/>
    <mergeCell ref="AE12:AE13"/>
    <mergeCell ref="AG12:AG13"/>
    <mergeCell ref="A18:A19"/>
    <mergeCell ref="B18:B19"/>
    <mergeCell ref="C18:C19"/>
    <mergeCell ref="D18:D19"/>
    <mergeCell ref="E18:E19"/>
    <mergeCell ref="F18:F19"/>
    <mergeCell ref="M16:M17"/>
    <mergeCell ref="N16:N17"/>
    <mergeCell ref="AE16:AE17"/>
    <mergeCell ref="A16:A17"/>
    <mergeCell ref="B16:B17"/>
    <mergeCell ref="C16:C17"/>
    <mergeCell ref="D16:D17"/>
    <mergeCell ref="E16:E17"/>
    <mergeCell ref="F16:F17"/>
    <mergeCell ref="M18:M19"/>
    <mergeCell ref="N18:N19"/>
    <mergeCell ref="AE18:AE19"/>
    <mergeCell ref="AF20:AF21"/>
    <mergeCell ref="AG20:AG21"/>
    <mergeCell ref="G20:G21"/>
    <mergeCell ref="H20:H21"/>
    <mergeCell ref="I20:I21"/>
    <mergeCell ref="J20:J21"/>
    <mergeCell ref="K20:K21"/>
    <mergeCell ref="L20:L21"/>
    <mergeCell ref="AF18:AF19"/>
    <mergeCell ref="AG18:AG19"/>
    <mergeCell ref="G18:G19"/>
    <mergeCell ref="H18:H19"/>
    <mergeCell ref="I18:I19"/>
    <mergeCell ref="J18:J19"/>
    <mergeCell ref="K18:K19"/>
    <mergeCell ref="L18:L19"/>
    <mergeCell ref="A22:A23"/>
    <mergeCell ref="B22:B23"/>
    <mergeCell ref="C22:C23"/>
    <mergeCell ref="D22:D23"/>
    <mergeCell ref="E22:E23"/>
    <mergeCell ref="F22:F23"/>
    <mergeCell ref="M20:M21"/>
    <mergeCell ref="N20:N21"/>
    <mergeCell ref="AE20:AE21"/>
    <mergeCell ref="A20:A21"/>
    <mergeCell ref="B20:B21"/>
    <mergeCell ref="C20:C21"/>
    <mergeCell ref="D20:D21"/>
    <mergeCell ref="E20:E21"/>
    <mergeCell ref="F20:F21"/>
    <mergeCell ref="M22:M23"/>
    <mergeCell ref="N22:N23"/>
    <mergeCell ref="AE22:AE23"/>
    <mergeCell ref="AF24:AF25"/>
    <mergeCell ref="AG24:AG25"/>
    <mergeCell ref="G24:G25"/>
    <mergeCell ref="H24:H25"/>
    <mergeCell ref="I24:I25"/>
    <mergeCell ref="J24:J25"/>
    <mergeCell ref="K24:K25"/>
    <mergeCell ref="L24:L25"/>
    <mergeCell ref="AF22:AF23"/>
    <mergeCell ref="AG22:AG23"/>
    <mergeCell ref="G22:G23"/>
    <mergeCell ref="H22:H23"/>
    <mergeCell ref="I22:I23"/>
    <mergeCell ref="J22:J23"/>
    <mergeCell ref="K22:K23"/>
    <mergeCell ref="L22:L23"/>
    <mergeCell ref="A26:A27"/>
    <mergeCell ref="B26:B27"/>
    <mergeCell ref="C26:C27"/>
    <mergeCell ref="D26:D27"/>
    <mergeCell ref="E26:E27"/>
    <mergeCell ref="F26:F27"/>
    <mergeCell ref="M24:M25"/>
    <mergeCell ref="N24:N25"/>
    <mergeCell ref="AE24:AE25"/>
    <mergeCell ref="A24:A25"/>
    <mergeCell ref="B24:B25"/>
    <mergeCell ref="C24:C25"/>
    <mergeCell ref="D24:D25"/>
    <mergeCell ref="E24:E25"/>
    <mergeCell ref="F24:F25"/>
    <mergeCell ref="M26:M27"/>
    <mergeCell ref="N26:N27"/>
    <mergeCell ref="AE26:AE27"/>
    <mergeCell ref="AF28:AF29"/>
    <mergeCell ref="AG28:AG29"/>
    <mergeCell ref="G28:G29"/>
    <mergeCell ref="H28:H29"/>
    <mergeCell ref="I28:I29"/>
    <mergeCell ref="J28:J29"/>
    <mergeCell ref="K28:K29"/>
    <mergeCell ref="L28:L29"/>
    <mergeCell ref="AF26:AF27"/>
    <mergeCell ref="AG26:AG27"/>
    <mergeCell ref="G26:G27"/>
    <mergeCell ref="H26:H27"/>
    <mergeCell ref="I26:I27"/>
    <mergeCell ref="J26:J27"/>
    <mergeCell ref="K26:K27"/>
    <mergeCell ref="L26:L27"/>
    <mergeCell ref="M28:M29"/>
    <mergeCell ref="N28:N29"/>
    <mergeCell ref="AE28:AE29"/>
    <mergeCell ref="A28:A29"/>
    <mergeCell ref="B28:B29"/>
    <mergeCell ref="C28:C29"/>
    <mergeCell ref="D28:D29"/>
    <mergeCell ref="E28:E29"/>
    <mergeCell ref="F28:F29"/>
    <mergeCell ref="J30:J31"/>
    <mergeCell ref="K30:K31"/>
    <mergeCell ref="L30:L31"/>
    <mergeCell ref="A30:A31"/>
    <mergeCell ref="B30:B31"/>
    <mergeCell ref="C30:C31"/>
    <mergeCell ref="D30:D31"/>
    <mergeCell ref="E30:E31"/>
    <mergeCell ref="F30:F31"/>
    <mergeCell ref="H43:I43"/>
    <mergeCell ref="H44:I44"/>
    <mergeCell ref="M30:M31"/>
    <mergeCell ref="N30:N31"/>
    <mergeCell ref="AE30:AE31"/>
    <mergeCell ref="M52:M53"/>
    <mergeCell ref="H45:I45"/>
    <mergeCell ref="H46:I46"/>
    <mergeCell ref="B52:B53"/>
    <mergeCell ref="C52:C53"/>
    <mergeCell ref="D52:D53"/>
    <mergeCell ref="E52:E53"/>
    <mergeCell ref="F52:F53"/>
    <mergeCell ref="G52:G53"/>
    <mergeCell ref="AF30:AF31"/>
    <mergeCell ref="AG30:AG31"/>
    <mergeCell ref="G30:G31"/>
    <mergeCell ref="H30:H31"/>
    <mergeCell ref="I30:I31"/>
    <mergeCell ref="D33:E33"/>
    <mergeCell ref="D34:E34"/>
    <mergeCell ref="H41:I41"/>
    <mergeCell ref="H42:I42"/>
  </mergeCells>
  <conditionalFormatting sqref="H4">
    <cfRule type="cellIs" dxfId="207" priority="16" operator="lessThanOrEqual">
      <formula>$C$4</formula>
    </cfRule>
  </conditionalFormatting>
  <conditionalFormatting sqref="I6">
    <cfRule type="cellIs" dxfId="206" priority="17" operator="greaterThanOrEqual">
      <formula>$C$5</formula>
    </cfRule>
    <cfRule type="cellIs" dxfId="205" priority="18" operator="lessThanOrEqual">
      <formula>$C$4</formula>
    </cfRule>
    <cfRule type="cellIs" dxfId="204" priority="19" operator="between">
      <formula>$C$5</formula>
      <formula>$C$4</formula>
    </cfRule>
  </conditionalFormatting>
  <conditionalFormatting sqref="O6">
    <cfRule type="cellIs" dxfId="203" priority="13" operator="greaterThanOrEqual">
      <formula>$H$5</formula>
    </cfRule>
    <cfRule type="cellIs" dxfId="202" priority="14" operator="lessThanOrEqual">
      <formula>$H$4</formula>
    </cfRule>
    <cfRule type="cellIs" dxfId="201" priority="15" operator="between">
      <formula>$H$5</formula>
      <formula>$H$4</formula>
    </cfRule>
  </conditionalFormatting>
  <conditionalFormatting sqref="Q14:Q31">
    <cfRule type="cellIs" dxfId="200" priority="10" operator="greaterThanOrEqual">
      <formula>$C$5</formula>
    </cfRule>
    <cfRule type="cellIs" dxfId="199" priority="11" operator="lessThanOrEqual">
      <formula>$C$4</formula>
    </cfRule>
    <cfRule type="cellIs" dxfId="198" priority="12" operator="between">
      <formula>$C$5</formula>
      <formula>$C$4</formula>
    </cfRule>
  </conditionalFormatting>
  <conditionalFormatting sqref="S41:S44 W41:W44 O41:O46 AA41:AA46 J42:N42 P42:R42 T42:V42 X42:Z42 AB42:AD42 I50">
    <cfRule type="cellIs" dxfId="197" priority="20" operator="greaterThanOrEqual">
      <formula>$D$9</formula>
    </cfRule>
    <cfRule type="cellIs" dxfId="196" priority="21" operator="lessThanOrEqual">
      <formula>$C$6</formula>
    </cfRule>
    <cfRule type="cellIs" dxfId="195" priority="22" operator="between">
      <formula>$C$6</formula>
      <formula>$D$9</formula>
    </cfRule>
  </conditionalFormatting>
  <conditionalFormatting sqref="V6">
    <cfRule type="cellIs" dxfId="194" priority="7" operator="greaterThanOrEqual">
      <formula>$H$5</formula>
    </cfRule>
    <cfRule type="cellIs" dxfId="193" priority="8" operator="lessThanOrEqual">
      <formula>$H$4</formula>
    </cfRule>
    <cfRule type="cellIs" dxfId="192" priority="9" operator="between">
      <formula>$H$5</formula>
      <formula>$H$4</formula>
    </cfRule>
  </conditionalFormatting>
  <conditionalFormatting sqref="AD6">
    <cfRule type="cellIs" dxfId="191" priority="4" operator="greaterThanOrEqual">
      <formula>$H$5</formula>
    </cfRule>
    <cfRule type="cellIs" dxfId="190" priority="5" operator="lessThanOrEqual">
      <formula>$H$4</formula>
    </cfRule>
    <cfRule type="cellIs" dxfId="189" priority="6" operator="between">
      <formula>$H$5</formula>
      <formula>$H$4</formula>
    </cfRule>
  </conditionalFormatting>
  <dataValidations count="10">
    <dataValidation type="list" allowBlank="1" showInputMessage="1" showErrorMessage="1" sqref="L14:L31" xr:uid="{199CDF6A-F42D-4794-982C-2842AAA785A6}">
      <formula1>$M$54:$M$56</formula1>
    </dataValidation>
    <dataValidation type="list" allowBlank="1" showInputMessage="1" showErrorMessage="1" sqref="G14:G31" xr:uid="{C84C2365-1382-4338-9A4B-D3BB7EECD9BC}">
      <formula1>$G$54:$G$113</formula1>
    </dataValidation>
    <dataValidation type="list" allowBlank="1" showInputMessage="1" showErrorMessage="1" sqref="E14:E31" xr:uid="{0E0490E1-42FD-4AF1-9001-3628D1B5C63A}">
      <formula1>$E$54:$E$72</formula1>
    </dataValidation>
    <dataValidation type="list" allowBlank="1" showInputMessage="1" showErrorMessage="1" sqref="D14:D31" xr:uid="{8E8C9FE3-372A-48D3-B965-3FB9E586DE9B}">
      <formula1>$D$54:$D$60</formula1>
    </dataValidation>
    <dataValidation type="list" allowBlank="1" showInputMessage="1" showErrorMessage="1" sqref="C14:C31" xr:uid="{E07134C2-DC34-4532-91AB-274D7F5D4430}">
      <formula1>$C$54:$C$63</formula1>
    </dataValidation>
    <dataValidation type="list" allowBlank="1" showInputMessage="1" showErrorMessage="1" sqref="B14:B31" xr:uid="{5A885BB6-3387-4225-9634-74DC34C436BF}">
      <formula1>$B$54:$B$61</formula1>
    </dataValidation>
    <dataValidation allowBlank="1" showErrorMessage="1" sqref="Q14:Q31" xr:uid="{E1D884C5-B9A6-4E86-A1EE-281E092B282D}"/>
    <dataValidation type="decimal" allowBlank="1" showInputMessage="1" showErrorMessage="1" prompt="% de avance en la actividad - indique el % programado de avance durante esta semana_x000a_" sqref="R14:T25 R27:T31 U14:AD31" xr:uid="{B7C2228D-4F8D-461A-B599-3D5913834950}">
      <formula1>0</formula1>
      <formula2>1</formula2>
    </dataValidation>
    <dataValidation type="decimal" allowBlank="1" showInputMessage="1" showErrorMessage="1" prompt="campo calculado  - indica el % de avance  que aporta la activadad a todo el proyecto" sqref="P25 P23 P29 P15 P17 P21 P27 P19 P31" xr:uid="{88CCD9A9-2DAB-4DD1-921D-2FD46120426D}">
      <formula1>0</formula1>
      <formula2>1</formula2>
    </dataValidation>
    <dataValidation type="decimal" allowBlank="1" showInputMessage="1" showErrorMessage="1" prompt="valor porcentual de la activida - Indique el peso porcentual de la actividad dentro del proyecto" sqref="P14 P26 P20 P18 P24 P16 P28 P30 P22" xr:uid="{9C66DA0F-6F8A-4E9A-BB62-8A3968E779F6}">
      <formula1>0</formula1>
      <formula2>1</formula2>
    </dataValidation>
  </dataValidations>
  <pageMargins left="0.7" right="0.7" top="0.75" bottom="0.75" header="0.3" footer="0.3"/>
  <pageSetup scale="11" orientation="portrait" r:id="rId1"/>
  <headerFooter>
    <oddFooter>&amp;C_x000D_&amp;1#&amp;"Calibri"&amp;10&amp;K008000 DOCUMENTO PÚBLICO</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557F2-F233-4478-BDE4-99AD8A89A120}">
  <dimension ref="A1:AJ108"/>
  <sheetViews>
    <sheetView showGridLines="0" tabSelected="1" view="pageBreakPreview" topLeftCell="I1" zoomScale="60" zoomScaleNormal="53" zoomScalePageLayoutView="48" workbookViewId="0">
      <selection activeCell="R15" sqref="R15 R19 R21 R23 R17 R25 R27 R29 R31 R33 R35 R37 R39 R41 R43 R45"/>
    </sheetView>
  </sheetViews>
  <sheetFormatPr baseColWidth="10" defaultColWidth="12.54296875" defaultRowHeight="15" customHeight="1" x14ac:dyDescent="0.35"/>
  <cols>
    <col min="1" max="1" width="7.453125" style="13" customWidth="1"/>
    <col min="2" max="5" width="30.54296875" style="13" customWidth="1"/>
    <col min="6" max="6" width="30.54296875" style="13" hidden="1" customWidth="1"/>
    <col min="7" max="16" width="30.54296875" style="13" customWidth="1"/>
    <col min="17" max="17" width="17.54296875" style="13" customWidth="1"/>
    <col min="18" max="18" width="13.54296875" style="13" customWidth="1"/>
    <col min="19" max="19" width="13.54296875" style="219" customWidth="1"/>
    <col min="20" max="31" width="9.54296875" style="13" customWidth="1"/>
    <col min="32" max="32" width="9.54296875" style="13" hidden="1" customWidth="1"/>
    <col min="33" max="36" width="49" style="13" customWidth="1"/>
    <col min="37" max="37" width="2.54296875" style="13" customWidth="1"/>
    <col min="38" max="16384" width="12.54296875" style="13"/>
  </cols>
  <sheetData>
    <row r="1" spans="1:36" s="5" customFormat="1" ht="15" customHeight="1" x14ac:dyDescent="0.35">
      <c r="A1" s="337"/>
      <c r="B1" s="338"/>
      <c r="C1" s="339"/>
      <c r="D1" s="346" t="s">
        <v>207</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row>
    <row r="2" spans="1:36"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row>
    <row r="3" spans="1:36"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row>
    <row r="4" spans="1:36" s="5" customFormat="1" ht="60" hidden="1" customHeight="1" thickBot="1" x14ac:dyDescent="0.4">
      <c r="A4" s="352" t="s">
        <v>9</v>
      </c>
      <c r="B4" s="8" t="s">
        <v>10</v>
      </c>
      <c r="C4" s="9">
        <v>0.7</v>
      </c>
      <c r="D4" s="9"/>
      <c r="E4" s="9"/>
      <c r="F4" s="6"/>
      <c r="G4" s="352" t="s">
        <v>11</v>
      </c>
      <c r="H4" s="7"/>
      <c r="I4" s="8" t="s">
        <v>10</v>
      </c>
      <c r="J4" s="9">
        <v>0.7</v>
      </c>
      <c r="K4" s="10"/>
      <c r="L4" s="11"/>
      <c r="M4" s="11"/>
      <c r="N4" s="11"/>
      <c r="O4" s="11"/>
      <c r="P4" s="11"/>
      <c r="Q4" s="11"/>
      <c r="R4" s="11"/>
      <c r="S4" s="217"/>
      <c r="T4" s="11"/>
      <c r="U4" s="11"/>
      <c r="V4" s="11"/>
      <c r="W4" s="11"/>
      <c r="X4" s="11"/>
      <c r="Y4" s="11"/>
      <c r="Z4" s="11"/>
      <c r="AA4" s="11"/>
      <c r="AB4" s="11"/>
      <c r="AC4" s="11"/>
      <c r="AD4" s="11"/>
      <c r="AE4" s="11"/>
      <c r="AF4" s="11"/>
      <c r="AG4" s="11"/>
      <c r="AH4" s="11"/>
    </row>
    <row r="5" spans="1:36" s="5" customFormat="1" ht="60" hidden="1" customHeight="1" x14ac:dyDescent="0.35">
      <c r="A5" s="352"/>
      <c r="B5" s="8" t="s">
        <v>12</v>
      </c>
      <c r="C5" s="12">
        <v>0.9</v>
      </c>
      <c r="D5" s="12"/>
      <c r="E5" s="12"/>
      <c r="F5" s="12">
        <v>1</v>
      </c>
      <c r="G5" s="352"/>
      <c r="H5" s="7"/>
      <c r="I5" s="8" t="s">
        <v>12</v>
      </c>
      <c r="J5" s="12">
        <v>0.95</v>
      </c>
      <c r="K5" s="10"/>
      <c r="L5" s="11"/>
      <c r="M5" s="11"/>
      <c r="N5" s="11"/>
      <c r="O5" s="11"/>
      <c r="P5" s="11"/>
      <c r="Q5" s="11"/>
      <c r="R5" s="11"/>
      <c r="S5" s="217"/>
      <c r="T5" s="11"/>
      <c r="U5" s="11"/>
      <c r="V5" s="11"/>
      <c r="W5" s="11"/>
      <c r="X5" s="11"/>
      <c r="Y5" s="11"/>
      <c r="Z5" s="11"/>
      <c r="AA5" s="11"/>
      <c r="AB5" s="11"/>
      <c r="AC5" s="11"/>
      <c r="AD5" s="11"/>
      <c r="AE5" s="11"/>
      <c r="AF5" s="11"/>
      <c r="AG5" s="11"/>
      <c r="AH5" s="11"/>
    </row>
    <row r="6" spans="1:36" ht="20.149999999999999" customHeight="1" x14ac:dyDescent="0.35">
      <c r="A6" s="353" t="s">
        <v>13</v>
      </c>
      <c r="B6" s="353"/>
      <c r="C6" s="422" t="s">
        <v>208</v>
      </c>
      <c r="D6" s="423"/>
      <c r="E6" s="419" t="s">
        <v>15</v>
      </c>
      <c r="F6" s="222"/>
      <c r="G6" s="322">
        <f>+R15+R19+R21+R23+R17+R25+R27+R29+R31+R33+R35+R37+R39+R41+R43+R45</f>
        <v>1</v>
      </c>
      <c r="H6" s="416"/>
      <c r="I6" s="353" t="s">
        <v>209</v>
      </c>
      <c r="J6" s="353"/>
      <c r="K6" s="358">
        <f>(R14+R18+R20+R22+R16+R24+R26+R28+R30+R32+R34+R36+R38+R40+R42+R44)/N6</f>
        <v>0.17010937500000001</v>
      </c>
      <c r="L6" s="353" t="s">
        <v>17</v>
      </c>
      <c r="M6" s="353"/>
      <c r="N6" s="322">
        <v>1</v>
      </c>
      <c r="O6" s="353" t="s">
        <v>210</v>
      </c>
      <c r="P6" s="353"/>
      <c r="Q6" s="404">
        <f>(SUM(T14:V14,T18:V18,T20:V20,T22:V22,T16:V16,T24:V24,T26:V26,T28:V28,T30:V30,T32:V32,T34:V34,T36:V36,T38:V38,T40:V40,T42:V42,T44:V44)/SUM(T15:V15,T19:V19,T21:V21,T23:V23,T17:V17,T25:V25,T27:V27,T29:V29,T31:V31,T33:V33,T35:V35,T37:V37,T39:V39,T41:V41,T43:V43,T45:V45))/N6</f>
        <v>0.98972727272727279</v>
      </c>
      <c r="R6" s="405"/>
      <c r="S6" s="406"/>
      <c r="T6" s="295" t="s">
        <v>211</v>
      </c>
      <c r="U6" s="296"/>
      <c r="V6" s="296"/>
      <c r="W6" s="297"/>
      <c r="X6" s="304">
        <f>SUM(W14:Y14,W18:Y18,W20:Y20,W22:Y22,W16:Y16,W24:Y24,W26:Y26,W28:Y28,W30:Y30,W32:Y32,W34:Y34,W36:Y36,W38:Y38,W40:Y40,W42:Y42,W44:Y44)/SUM(W15:Y15,W19:Y19,W21:Y21,W23:Y23,W17:Y17,W25:Y25,W27:Y27,W29:Y29,W31:Y31,W33:Y33,W35:Y35,W37:Y37,W39:Y39,W41:Y41,W43:Y43,W45:Y45)/N6</f>
        <v>0</v>
      </c>
      <c r="Y6" s="325"/>
      <c r="Z6" s="325"/>
      <c r="AA6" s="305"/>
      <c r="AB6" s="295" t="s">
        <v>212</v>
      </c>
      <c r="AC6" s="296"/>
      <c r="AD6" s="296"/>
      <c r="AE6" s="297"/>
      <c r="AF6" s="304">
        <f>SUM(Z14:AB14,Z18:AB18,Z20:AB20,Z22:AB22,Z16:AB16,Z24:AB24,Z26:AB26,Z28:AB28,Z30:AB30,Z32:AB32,Z34:AB34,Z36:AB36,Z38:AB38,Z40:AB40,Z42:AB42,Z44:AB44)/SUM(Z15:AB15,Z19:AB19,Z21:AB21,Z23:AB23,Z17:AB17,Z25:AB25,Z27:AB27,Z29:AB29,Z31:AB31,Z33:AB33,Z35:AB35,Z37:AB37,Z39:AB39,Z41:AB41,Z43:AB43,Z45:AB45)/N6</f>
        <v>0</v>
      </c>
      <c r="AG6" s="305"/>
      <c r="AH6" s="295" t="s">
        <v>213</v>
      </c>
      <c r="AI6" s="304">
        <f>SUM(AC18:AE18,AC20:AE20,AC22:AE22,AC14:AE14,AC16:AE16,AC24:AE24,AC26:AE26,AC28:AE28,AC30:AE30,AC32:AE32,AC34:AE34,AC36:AE36,AC38:AE38,AC40:AE40,AC42:AE42,AC44:AE44)/SUM(AC15:AE15,AC19:AE19,AC21:AE21,AC23:AE23,AC17:AE17,AC25:AE25,AC27:AE27,AC29:AE29,AC31:AE31,AC33:AE33,AC37:AE37,AC39:AE39,AC41:AE41,AC43:AE43,AC45:AE45,AC35:AE35)/N6</f>
        <v>0</v>
      </c>
      <c r="AJ6" s="295"/>
    </row>
    <row r="7" spans="1:36" ht="15" customHeight="1" x14ac:dyDescent="0.35">
      <c r="A7" s="353"/>
      <c r="B7" s="353"/>
      <c r="C7" s="423"/>
      <c r="D7" s="423"/>
      <c r="E7" s="420"/>
      <c r="F7" s="222"/>
      <c r="G7" s="323"/>
      <c r="H7" s="417"/>
      <c r="I7" s="353"/>
      <c r="J7" s="353"/>
      <c r="K7" s="359"/>
      <c r="L7" s="353"/>
      <c r="M7" s="353"/>
      <c r="N7" s="323"/>
      <c r="O7" s="353"/>
      <c r="P7" s="353"/>
      <c r="Q7" s="407"/>
      <c r="R7" s="408"/>
      <c r="S7" s="409"/>
      <c r="T7" s="298"/>
      <c r="U7" s="299"/>
      <c r="V7" s="299"/>
      <c r="W7" s="300"/>
      <c r="X7" s="306"/>
      <c r="Y7" s="326"/>
      <c r="Z7" s="326"/>
      <c r="AA7" s="307"/>
      <c r="AB7" s="298"/>
      <c r="AC7" s="299"/>
      <c r="AD7" s="299"/>
      <c r="AE7" s="300"/>
      <c r="AF7" s="306"/>
      <c r="AG7" s="307"/>
      <c r="AH7" s="298"/>
      <c r="AI7" s="306"/>
      <c r="AJ7" s="298"/>
    </row>
    <row r="8" spans="1:36" ht="25.4" customHeight="1" x14ac:dyDescent="0.35">
      <c r="A8" s="353"/>
      <c r="B8" s="353"/>
      <c r="C8" s="423"/>
      <c r="D8" s="423"/>
      <c r="E8" s="420"/>
      <c r="F8" s="222"/>
      <c r="G8" s="323"/>
      <c r="H8" s="417"/>
      <c r="I8" s="353"/>
      <c r="J8" s="353"/>
      <c r="K8" s="359"/>
      <c r="L8" s="353"/>
      <c r="M8" s="353"/>
      <c r="N8" s="323"/>
      <c r="O8" s="353"/>
      <c r="P8" s="353"/>
      <c r="Q8" s="407"/>
      <c r="R8" s="408"/>
      <c r="S8" s="409"/>
      <c r="T8" s="298"/>
      <c r="U8" s="299"/>
      <c r="V8" s="299"/>
      <c r="W8" s="300"/>
      <c r="X8" s="306"/>
      <c r="Y8" s="326"/>
      <c r="Z8" s="326"/>
      <c r="AA8" s="307"/>
      <c r="AB8" s="298"/>
      <c r="AC8" s="299"/>
      <c r="AD8" s="299"/>
      <c r="AE8" s="300"/>
      <c r="AF8" s="306"/>
      <c r="AG8" s="307"/>
      <c r="AH8" s="298"/>
      <c r="AI8" s="306"/>
      <c r="AJ8" s="298"/>
    </row>
    <row r="9" spans="1:36" ht="25.4" customHeight="1" x14ac:dyDescent="0.35">
      <c r="A9" s="353"/>
      <c r="B9" s="353"/>
      <c r="C9" s="423"/>
      <c r="D9" s="423"/>
      <c r="E9" s="420"/>
      <c r="F9" s="222"/>
      <c r="G9" s="323"/>
      <c r="H9" s="417"/>
      <c r="I9" s="353"/>
      <c r="J9" s="353"/>
      <c r="K9" s="359"/>
      <c r="L9" s="353"/>
      <c r="M9" s="353"/>
      <c r="N9" s="323"/>
      <c r="O9" s="353"/>
      <c r="P9" s="353"/>
      <c r="Q9" s="407"/>
      <c r="R9" s="408"/>
      <c r="S9" s="409"/>
      <c r="T9" s="298"/>
      <c r="U9" s="299"/>
      <c r="V9" s="299"/>
      <c r="W9" s="300"/>
      <c r="X9" s="306"/>
      <c r="Y9" s="326"/>
      <c r="Z9" s="326"/>
      <c r="AA9" s="307"/>
      <c r="AB9" s="298"/>
      <c r="AC9" s="299"/>
      <c r="AD9" s="299"/>
      <c r="AE9" s="300"/>
      <c r="AF9" s="306"/>
      <c r="AG9" s="307"/>
      <c r="AH9" s="298"/>
      <c r="AI9" s="306"/>
      <c r="AJ9" s="298"/>
    </row>
    <row r="10" spans="1:36" ht="15" customHeight="1" thickBot="1" x14ac:dyDescent="0.4">
      <c r="A10" s="353"/>
      <c r="B10" s="353"/>
      <c r="C10" s="423"/>
      <c r="D10" s="423"/>
      <c r="E10" s="421"/>
      <c r="F10" s="222"/>
      <c r="G10" s="324"/>
      <c r="H10" s="418"/>
      <c r="I10" s="353"/>
      <c r="J10" s="353"/>
      <c r="K10" s="360"/>
      <c r="L10" s="353"/>
      <c r="M10" s="353"/>
      <c r="N10" s="323"/>
      <c r="O10" s="353"/>
      <c r="P10" s="353"/>
      <c r="Q10" s="410"/>
      <c r="R10" s="411"/>
      <c r="S10" s="412"/>
      <c r="T10" s="301"/>
      <c r="U10" s="302"/>
      <c r="V10" s="302"/>
      <c r="W10" s="303"/>
      <c r="X10" s="413"/>
      <c r="Y10" s="414"/>
      <c r="Z10" s="414"/>
      <c r="AA10" s="415"/>
      <c r="AB10" s="301"/>
      <c r="AC10" s="302"/>
      <c r="AD10" s="302"/>
      <c r="AE10" s="303"/>
      <c r="AF10" s="413"/>
      <c r="AG10" s="415"/>
      <c r="AH10" s="301"/>
      <c r="AI10" s="413"/>
      <c r="AJ10" s="301"/>
    </row>
    <row r="11" spans="1:36" s="14" customFormat="1" ht="40.4" customHeight="1" thickBot="1" x14ac:dyDescent="0.4">
      <c r="A11" s="398" t="s">
        <v>21</v>
      </c>
      <c r="B11" s="398"/>
      <c r="C11" s="398"/>
      <c r="D11" s="398"/>
      <c r="E11" s="398"/>
      <c r="F11" s="398"/>
      <c r="G11" s="399" t="s">
        <v>22</v>
      </c>
      <c r="H11" s="400"/>
      <c r="I11" s="400"/>
      <c r="J11" s="400"/>
      <c r="K11" s="400"/>
      <c r="L11" s="400"/>
      <c r="M11" s="400"/>
      <c r="N11" s="400"/>
      <c r="O11" s="401"/>
      <c r="P11" s="402"/>
      <c r="Q11" s="399" t="s">
        <v>23</v>
      </c>
      <c r="R11" s="401"/>
      <c r="S11" s="401"/>
      <c r="T11" s="401"/>
      <c r="U11" s="401"/>
      <c r="V11" s="401"/>
      <c r="W11" s="401"/>
      <c r="X11" s="401"/>
      <c r="Y11" s="401"/>
      <c r="Z11" s="401"/>
      <c r="AA11" s="401"/>
      <c r="AB11" s="401"/>
      <c r="AC11" s="401"/>
      <c r="AD11" s="401"/>
      <c r="AE11" s="401"/>
      <c r="AF11" s="403"/>
      <c r="AG11" s="320" t="s">
        <v>24</v>
      </c>
      <c r="AH11" s="321"/>
      <c r="AI11" s="321"/>
      <c r="AJ11" s="321"/>
    </row>
    <row r="12" spans="1:36" ht="39" customHeight="1" x14ac:dyDescent="0.35">
      <c r="A12" s="286" t="s">
        <v>25</v>
      </c>
      <c r="B12" s="294" t="s">
        <v>26</v>
      </c>
      <c r="C12" s="294" t="s">
        <v>27</v>
      </c>
      <c r="D12" s="294" t="s">
        <v>28</v>
      </c>
      <c r="E12" s="294" t="s">
        <v>29</v>
      </c>
      <c r="F12" s="294" t="s">
        <v>30</v>
      </c>
      <c r="G12" s="294" t="s">
        <v>31</v>
      </c>
      <c r="H12" s="286" t="s">
        <v>214</v>
      </c>
      <c r="I12" s="286" t="s">
        <v>215</v>
      </c>
      <c r="J12" s="286" t="s">
        <v>32</v>
      </c>
      <c r="K12" s="286" t="s">
        <v>33</v>
      </c>
      <c r="L12" s="286" t="s">
        <v>34</v>
      </c>
      <c r="M12" s="286" t="s">
        <v>35</v>
      </c>
      <c r="N12" s="294" t="s">
        <v>36</v>
      </c>
      <c r="O12" s="310" t="s">
        <v>37</v>
      </c>
      <c r="P12" s="311" t="s">
        <v>38</v>
      </c>
      <c r="Q12" s="312" t="s">
        <v>39</v>
      </c>
      <c r="R12" s="291" t="s">
        <v>40</v>
      </c>
      <c r="S12" s="291" t="s">
        <v>41</v>
      </c>
      <c r="T12" s="291" t="s">
        <v>42</v>
      </c>
      <c r="U12" s="291" t="s">
        <v>43</v>
      </c>
      <c r="V12" s="291" t="s">
        <v>44</v>
      </c>
      <c r="W12" s="291" t="s">
        <v>45</v>
      </c>
      <c r="X12" s="291" t="s">
        <v>46</v>
      </c>
      <c r="Y12" s="291" t="s">
        <v>47</v>
      </c>
      <c r="Z12" s="291" t="s">
        <v>48</v>
      </c>
      <c r="AA12" s="291" t="s">
        <v>49</v>
      </c>
      <c r="AB12" s="291" t="s">
        <v>50</v>
      </c>
      <c r="AC12" s="291" t="s">
        <v>51</v>
      </c>
      <c r="AD12" s="392" t="s">
        <v>52</v>
      </c>
      <c r="AE12" s="392" t="s">
        <v>53</v>
      </c>
      <c r="AF12" s="393" t="s">
        <v>54</v>
      </c>
      <c r="AG12" s="288" t="s">
        <v>216</v>
      </c>
      <c r="AH12" s="394" t="s">
        <v>217</v>
      </c>
      <c r="AI12" s="394" t="s">
        <v>218</v>
      </c>
      <c r="AJ12" s="396" t="s">
        <v>219</v>
      </c>
    </row>
    <row r="13" spans="1:36" ht="60" customHeight="1" x14ac:dyDescent="0.35">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392"/>
      <c r="AE13" s="392"/>
      <c r="AF13" s="293"/>
      <c r="AG13" s="289"/>
      <c r="AH13" s="395"/>
      <c r="AI13" s="395"/>
      <c r="AJ13" s="397"/>
    </row>
    <row r="14" spans="1:36" ht="88.5" customHeight="1" x14ac:dyDescent="0.35">
      <c r="A14" s="262">
        <v>1</v>
      </c>
      <c r="B14" s="261" t="s">
        <v>70</v>
      </c>
      <c r="C14" s="261" t="s">
        <v>89</v>
      </c>
      <c r="D14" s="261" t="s">
        <v>90</v>
      </c>
      <c r="E14" s="261" t="s">
        <v>91</v>
      </c>
      <c r="F14" s="381" t="s">
        <v>220</v>
      </c>
      <c r="G14" s="262" t="s">
        <v>92</v>
      </c>
      <c r="H14" s="262" t="s">
        <v>105</v>
      </c>
      <c r="I14" s="368" t="s">
        <v>221</v>
      </c>
      <c r="J14" s="368" t="s">
        <v>221</v>
      </c>
      <c r="K14" s="368" t="s">
        <v>222</v>
      </c>
      <c r="L14" s="387" t="s">
        <v>223</v>
      </c>
      <c r="M14" s="262" t="s">
        <v>224</v>
      </c>
      <c r="N14" s="275" t="s">
        <v>133</v>
      </c>
      <c r="O14" s="365">
        <v>45292</v>
      </c>
      <c r="P14" s="365">
        <v>45657</v>
      </c>
      <c r="Q14" s="15" t="s">
        <v>68</v>
      </c>
      <c r="R14" s="230">
        <f>+(R15*S14)</f>
        <v>0</v>
      </c>
      <c r="S14" s="220">
        <f>SUM(T14:AF14)</f>
        <v>0</v>
      </c>
      <c r="T14" s="228"/>
      <c r="U14" s="228"/>
      <c r="V14" s="228"/>
      <c r="W14" s="231"/>
      <c r="X14" s="228"/>
      <c r="Y14" s="232"/>
      <c r="Z14" s="228"/>
      <c r="AA14" s="228"/>
      <c r="AC14" s="229"/>
      <c r="AD14" s="229"/>
      <c r="AE14" s="233"/>
      <c r="AF14" s="19"/>
      <c r="AG14" s="376" t="s">
        <v>225</v>
      </c>
      <c r="AH14" s="363"/>
      <c r="AI14" s="390"/>
      <c r="AJ14" s="390"/>
    </row>
    <row r="15" spans="1:36" ht="88.5" customHeight="1" x14ac:dyDescent="0.35">
      <c r="A15" s="271"/>
      <c r="B15" s="261"/>
      <c r="C15" s="261"/>
      <c r="D15" s="261"/>
      <c r="E15" s="261"/>
      <c r="F15" s="381"/>
      <c r="G15" s="263"/>
      <c r="H15" s="263"/>
      <c r="I15" s="375"/>
      <c r="J15" s="375"/>
      <c r="K15" s="369"/>
      <c r="L15" s="388"/>
      <c r="M15" s="271"/>
      <c r="N15" s="276"/>
      <c r="O15" s="365"/>
      <c r="P15" s="365"/>
      <c r="Q15" s="15" t="s">
        <v>69</v>
      </c>
      <c r="R15" s="21">
        <f>100%/16</f>
        <v>6.25E-2</v>
      </c>
      <c r="S15" s="218">
        <f>SUM(T15:AE15)</f>
        <v>1</v>
      </c>
      <c r="T15" s="22"/>
      <c r="U15" s="22"/>
      <c r="V15" s="22"/>
      <c r="W15" s="22"/>
      <c r="X15" s="22"/>
      <c r="Y15" s="22">
        <v>0.5</v>
      </c>
      <c r="Z15" s="22"/>
      <c r="AA15" s="22"/>
      <c r="AB15" s="22"/>
      <c r="AC15" s="22"/>
      <c r="AD15" s="22"/>
      <c r="AE15" s="22">
        <v>0.5</v>
      </c>
      <c r="AF15" s="22"/>
      <c r="AG15" s="377"/>
      <c r="AH15" s="364"/>
      <c r="AI15" s="391"/>
      <c r="AJ15" s="391"/>
    </row>
    <row r="16" spans="1:36" ht="88.5" customHeight="1" x14ac:dyDescent="0.35">
      <c r="A16" s="262">
        <v>2</v>
      </c>
      <c r="B16" s="261" t="s">
        <v>70</v>
      </c>
      <c r="C16" s="261" t="s">
        <v>89</v>
      </c>
      <c r="D16" s="261" t="s">
        <v>90</v>
      </c>
      <c r="E16" s="261" t="s">
        <v>127</v>
      </c>
      <c r="F16" s="381" t="s">
        <v>220</v>
      </c>
      <c r="G16" s="262" t="s">
        <v>92</v>
      </c>
      <c r="H16" s="262" t="s">
        <v>105</v>
      </c>
      <c r="I16" s="368" t="s">
        <v>226</v>
      </c>
      <c r="J16" s="368" t="s">
        <v>227</v>
      </c>
      <c r="K16" s="368" t="s">
        <v>228</v>
      </c>
      <c r="L16" s="387" t="s">
        <v>223</v>
      </c>
      <c r="M16" s="262" t="s">
        <v>224</v>
      </c>
      <c r="N16" s="273" t="s">
        <v>67</v>
      </c>
      <c r="O16" s="365">
        <v>45292</v>
      </c>
      <c r="P16" s="365">
        <v>45657</v>
      </c>
      <c r="Q16" s="15" t="s">
        <v>68</v>
      </c>
      <c r="R16" s="16">
        <f>+(R17*S16)</f>
        <v>1.5625E-2</v>
      </c>
      <c r="S16" s="218">
        <f t="shared" ref="S16:S45" si="0">SUM(T16:AF16)</f>
        <v>0.25</v>
      </c>
      <c r="T16" s="18"/>
      <c r="U16" s="18"/>
      <c r="V16" s="71">
        <v>0.25</v>
      </c>
      <c r="W16" s="71"/>
      <c r="X16" s="18"/>
      <c r="Y16" s="18"/>
      <c r="Z16" s="18"/>
      <c r="AA16" s="18"/>
      <c r="AB16" s="19"/>
      <c r="AD16" s="19"/>
      <c r="AE16" s="26"/>
      <c r="AF16" s="19"/>
      <c r="AG16" s="363" t="s">
        <v>229</v>
      </c>
      <c r="AH16" s="363"/>
      <c r="AI16" s="390"/>
      <c r="AJ16" s="390"/>
    </row>
    <row r="17" spans="1:36" ht="88.5" customHeight="1" x14ac:dyDescent="0.35">
      <c r="A17" s="271"/>
      <c r="B17" s="261"/>
      <c r="C17" s="261"/>
      <c r="D17" s="261"/>
      <c r="E17" s="261"/>
      <c r="F17" s="381"/>
      <c r="G17" s="263"/>
      <c r="H17" s="263"/>
      <c r="I17" s="375"/>
      <c r="J17" s="375"/>
      <c r="K17" s="369"/>
      <c r="L17" s="388"/>
      <c r="M17" s="271"/>
      <c r="N17" s="273"/>
      <c r="O17" s="365"/>
      <c r="P17" s="365"/>
      <c r="Q17" s="15" t="s">
        <v>69</v>
      </c>
      <c r="R17" s="21">
        <f>100%/16</f>
        <v>6.25E-2</v>
      </c>
      <c r="S17" s="218">
        <f t="shared" si="0"/>
        <v>1</v>
      </c>
      <c r="T17" s="22"/>
      <c r="U17" s="22"/>
      <c r="V17" s="22">
        <v>0.25</v>
      </c>
      <c r="W17" s="22"/>
      <c r="X17" s="22"/>
      <c r="Y17" s="22">
        <v>0.25</v>
      </c>
      <c r="Z17" s="22"/>
      <c r="AA17" s="22"/>
      <c r="AB17" s="22">
        <v>0.25</v>
      </c>
      <c r="AC17" s="22"/>
      <c r="AD17" s="22"/>
      <c r="AE17" s="22">
        <v>0.25</v>
      </c>
      <c r="AF17" s="22"/>
      <c r="AG17" s="364"/>
      <c r="AH17" s="364"/>
      <c r="AI17" s="391"/>
      <c r="AJ17" s="391"/>
    </row>
    <row r="18" spans="1:36" ht="88.5" customHeight="1" x14ac:dyDescent="0.35">
      <c r="A18" s="262">
        <v>3</v>
      </c>
      <c r="B18" s="261" t="s">
        <v>94</v>
      </c>
      <c r="C18" s="261" t="s">
        <v>103</v>
      </c>
      <c r="D18" s="261" t="s">
        <v>126</v>
      </c>
      <c r="E18" s="261" t="s">
        <v>130</v>
      </c>
      <c r="F18" s="381" t="s">
        <v>220</v>
      </c>
      <c r="G18" s="262" t="s">
        <v>87</v>
      </c>
      <c r="H18" s="262" t="s">
        <v>177</v>
      </c>
      <c r="I18" s="262" t="s">
        <v>230</v>
      </c>
      <c r="J18" s="262" t="s">
        <v>230</v>
      </c>
      <c r="K18" s="262" t="s">
        <v>231</v>
      </c>
      <c r="L18" s="262" t="s">
        <v>232</v>
      </c>
      <c r="M18" s="262" t="s">
        <v>224</v>
      </c>
      <c r="N18" s="275" t="s">
        <v>133</v>
      </c>
      <c r="O18" s="365">
        <v>45292</v>
      </c>
      <c r="P18" s="365">
        <v>45657</v>
      </c>
      <c r="Q18" s="15" t="s">
        <v>68</v>
      </c>
      <c r="R18" s="16">
        <f>+(R19*S18)</f>
        <v>1.4875000000000003E-2</v>
      </c>
      <c r="S18" s="218">
        <f t="shared" si="0"/>
        <v>0.23800000000000004</v>
      </c>
      <c r="T18" s="75">
        <f>T19*95.2%/100%</f>
        <v>7.9333333333333353E-2</v>
      </c>
      <c r="U18" s="75">
        <f t="shared" ref="U18:V18" si="1">U19*95.2%/100%</f>
        <v>7.9333333333333353E-2</v>
      </c>
      <c r="V18" s="75">
        <f t="shared" si="1"/>
        <v>7.9333333333333353E-2</v>
      </c>
      <c r="W18" s="75"/>
      <c r="X18" s="18"/>
      <c r="Y18" s="18"/>
      <c r="Z18" s="18"/>
      <c r="AA18" s="18"/>
      <c r="AB18" s="19"/>
      <c r="AC18" s="19"/>
      <c r="AD18" s="19"/>
      <c r="AE18" s="19"/>
      <c r="AF18" s="19"/>
      <c r="AG18" s="363" t="s">
        <v>233</v>
      </c>
      <c r="AH18" s="363"/>
      <c r="AI18" s="363"/>
      <c r="AJ18" s="363"/>
    </row>
    <row r="19" spans="1:36" ht="128.5" customHeight="1" x14ac:dyDescent="0.35">
      <c r="A19" s="271"/>
      <c r="B19" s="261"/>
      <c r="C19" s="261"/>
      <c r="D19" s="261"/>
      <c r="E19" s="261"/>
      <c r="F19" s="381"/>
      <c r="G19" s="263"/>
      <c r="H19" s="263"/>
      <c r="I19" s="271"/>
      <c r="J19" s="271"/>
      <c r="K19" s="271"/>
      <c r="L19" s="263"/>
      <c r="M19" s="271"/>
      <c r="N19" s="276"/>
      <c r="O19" s="365"/>
      <c r="P19" s="365"/>
      <c r="Q19" s="15" t="s">
        <v>69</v>
      </c>
      <c r="R19" s="21">
        <f>100%/16</f>
        <v>6.25E-2</v>
      </c>
      <c r="S19" s="218">
        <f t="shared" si="0"/>
        <v>1.0000000000000002</v>
      </c>
      <c r="T19" s="22">
        <v>8.3333333333333343E-2</v>
      </c>
      <c r="U19" s="22">
        <v>8.3333333333333343E-2</v>
      </c>
      <c r="V19" s="22">
        <v>8.3333333333333343E-2</v>
      </c>
      <c r="W19" s="22">
        <v>8.3333333333333343E-2</v>
      </c>
      <c r="X19" s="22">
        <v>8.3333333333333343E-2</v>
      </c>
      <c r="Y19" s="22">
        <v>8.3333333333333343E-2</v>
      </c>
      <c r="Z19" s="22">
        <v>8.3333333333333343E-2</v>
      </c>
      <c r="AA19" s="22">
        <v>8.3333333333333343E-2</v>
      </c>
      <c r="AB19" s="22">
        <v>8.3333333333333343E-2</v>
      </c>
      <c r="AC19" s="22">
        <v>8.3333333333333343E-2</v>
      </c>
      <c r="AD19" s="22">
        <v>8.3333333333333343E-2</v>
      </c>
      <c r="AE19" s="22">
        <v>8.3333333333333343E-2</v>
      </c>
      <c r="AF19" s="22"/>
      <c r="AG19" s="362"/>
      <c r="AH19" s="362"/>
      <c r="AI19" s="362"/>
      <c r="AJ19" s="364"/>
    </row>
    <row r="20" spans="1:36" ht="88.5" customHeight="1" x14ac:dyDescent="0.35">
      <c r="A20" s="262">
        <v>4</v>
      </c>
      <c r="B20" s="261" t="s">
        <v>94</v>
      </c>
      <c r="C20" s="261" t="s">
        <v>150</v>
      </c>
      <c r="D20" s="261" t="s">
        <v>126</v>
      </c>
      <c r="E20" s="261" t="s">
        <v>135</v>
      </c>
      <c r="F20" s="70" t="s">
        <v>220</v>
      </c>
      <c r="G20" s="261" t="s">
        <v>180</v>
      </c>
      <c r="H20" s="262" t="s">
        <v>176</v>
      </c>
      <c r="I20" s="261" t="s">
        <v>234</v>
      </c>
      <c r="J20" s="261" t="s">
        <v>234</v>
      </c>
      <c r="K20" s="261" t="s">
        <v>235</v>
      </c>
      <c r="L20" s="262" t="s">
        <v>232</v>
      </c>
      <c r="M20" s="262" t="s">
        <v>224</v>
      </c>
      <c r="N20" s="275" t="s">
        <v>67</v>
      </c>
      <c r="O20" s="365">
        <v>45292</v>
      </c>
      <c r="P20" s="365">
        <v>45657</v>
      </c>
      <c r="Q20" s="15" t="s">
        <v>68</v>
      </c>
      <c r="R20" s="16">
        <f>+(R21*S20)</f>
        <v>1.5625E-2</v>
      </c>
      <c r="S20" s="218">
        <f t="shared" si="0"/>
        <v>0.25</v>
      </c>
      <c r="T20" s="18"/>
      <c r="U20" s="18"/>
      <c r="V20" s="18">
        <v>0.25</v>
      </c>
      <c r="W20" s="18"/>
      <c r="X20" s="18"/>
      <c r="Y20" s="18"/>
      <c r="Z20" s="18"/>
      <c r="AA20" s="19"/>
      <c r="AB20" s="19"/>
      <c r="AC20" s="19"/>
      <c r="AD20" s="19"/>
      <c r="AE20" s="19"/>
      <c r="AF20" s="19"/>
      <c r="AG20" s="363" t="s">
        <v>236</v>
      </c>
      <c r="AH20" s="363"/>
      <c r="AI20" s="363"/>
      <c r="AJ20" s="389"/>
    </row>
    <row r="21" spans="1:36" ht="88.5" customHeight="1" x14ac:dyDescent="0.35">
      <c r="A21" s="271"/>
      <c r="B21" s="261"/>
      <c r="C21" s="261"/>
      <c r="D21" s="261"/>
      <c r="E21" s="261"/>
      <c r="F21" s="70"/>
      <c r="G21" s="261"/>
      <c r="H21" s="263"/>
      <c r="I21" s="261"/>
      <c r="J21" s="261"/>
      <c r="K21" s="261"/>
      <c r="L21" s="263"/>
      <c r="M21" s="271"/>
      <c r="N21" s="276"/>
      <c r="O21" s="365"/>
      <c r="P21" s="365"/>
      <c r="Q21" s="15" t="s">
        <v>69</v>
      </c>
      <c r="R21" s="21">
        <f>100%/16</f>
        <v>6.25E-2</v>
      </c>
      <c r="S21" s="218">
        <f t="shared" si="0"/>
        <v>1</v>
      </c>
      <c r="T21" s="22"/>
      <c r="U21" s="22"/>
      <c r="V21" s="22">
        <v>0.25</v>
      </c>
      <c r="W21" s="22"/>
      <c r="X21" s="22"/>
      <c r="Y21" s="22">
        <v>0.25</v>
      </c>
      <c r="Z21" s="22"/>
      <c r="AA21" s="22"/>
      <c r="AB21" s="22">
        <v>0.25</v>
      </c>
      <c r="AC21" s="22"/>
      <c r="AD21" s="22"/>
      <c r="AE21" s="22">
        <v>0.25</v>
      </c>
      <c r="AF21" s="22"/>
      <c r="AG21" s="364"/>
      <c r="AH21" s="364"/>
      <c r="AI21" s="364"/>
      <c r="AJ21" s="364"/>
    </row>
    <row r="22" spans="1:36" ht="88.5" customHeight="1" x14ac:dyDescent="0.35">
      <c r="A22" s="262">
        <v>5</v>
      </c>
      <c r="B22" s="261" t="s">
        <v>94</v>
      </c>
      <c r="C22" s="261" t="s">
        <v>103</v>
      </c>
      <c r="D22" s="261" t="s">
        <v>126</v>
      </c>
      <c r="E22" s="261" t="s">
        <v>138</v>
      </c>
      <c r="F22" s="381" t="s">
        <v>220</v>
      </c>
      <c r="G22" s="261" t="s">
        <v>185</v>
      </c>
      <c r="H22" s="262" t="s">
        <v>183</v>
      </c>
      <c r="I22" s="368" t="s">
        <v>237</v>
      </c>
      <c r="J22" s="368" t="s">
        <v>238</v>
      </c>
      <c r="K22" s="368" t="s">
        <v>239</v>
      </c>
      <c r="L22" s="387" t="s">
        <v>223</v>
      </c>
      <c r="M22" s="262" t="s">
        <v>224</v>
      </c>
      <c r="N22" s="273" t="s">
        <v>67</v>
      </c>
      <c r="O22" s="365">
        <v>45292</v>
      </c>
      <c r="P22" s="365">
        <v>45657</v>
      </c>
      <c r="Q22" s="15" t="s">
        <v>68</v>
      </c>
      <c r="R22" s="16">
        <f>+(R23*S22)</f>
        <v>1.5625E-2</v>
      </c>
      <c r="S22" s="218">
        <f t="shared" si="0"/>
        <v>0.25</v>
      </c>
      <c r="T22" s="18"/>
      <c r="U22" s="18"/>
      <c r="V22" s="18">
        <v>0.25</v>
      </c>
      <c r="W22" s="18"/>
      <c r="X22" s="18"/>
      <c r="Y22" s="18"/>
      <c r="Z22" s="18"/>
      <c r="AA22" s="19"/>
      <c r="AB22" s="19"/>
      <c r="AC22" s="19"/>
      <c r="AD22" s="19"/>
      <c r="AE22" s="19"/>
      <c r="AF22" s="19"/>
      <c r="AG22" s="363" t="s">
        <v>240</v>
      </c>
      <c r="AH22" s="361"/>
      <c r="AI22" s="361"/>
      <c r="AJ22" s="361"/>
    </row>
    <row r="23" spans="1:36" ht="88.5" customHeight="1" x14ac:dyDescent="0.35">
      <c r="A23" s="271"/>
      <c r="B23" s="261"/>
      <c r="C23" s="261"/>
      <c r="D23" s="261"/>
      <c r="E23" s="261"/>
      <c r="F23" s="381"/>
      <c r="G23" s="261"/>
      <c r="H23" s="263"/>
      <c r="I23" s="375"/>
      <c r="J23" s="375"/>
      <c r="K23" s="369"/>
      <c r="L23" s="388"/>
      <c r="M23" s="271"/>
      <c r="N23" s="273"/>
      <c r="O23" s="365"/>
      <c r="P23" s="365"/>
      <c r="Q23" s="15" t="s">
        <v>69</v>
      </c>
      <c r="R23" s="21">
        <f>100%/16</f>
        <v>6.25E-2</v>
      </c>
      <c r="S23" s="218">
        <f t="shared" si="0"/>
        <v>1</v>
      </c>
      <c r="T23" s="22"/>
      <c r="U23" s="22"/>
      <c r="V23" s="22">
        <v>0.25</v>
      </c>
      <c r="W23" s="22"/>
      <c r="X23" s="22"/>
      <c r="Y23" s="22">
        <v>0.25</v>
      </c>
      <c r="Z23" s="22"/>
      <c r="AA23" s="22"/>
      <c r="AB23" s="22">
        <v>0.25</v>
      </c>
      <c r="AC23" s="22"/>
      <c r="AD23" s="22"/>
      <c r="AE23" s="22">
        <v>0.25</v>
      </c>
      <c r="AF23" s="22"/>
      <c r="AG23" s="364"/>
      <c r="AH23" s="362"/>
      <c r="AI23" s="362"/>
      <c r="AJ23" s="362"/>
    </row>
    <row r="24" spans="1:36" ht="88.5" customHeight="1" x14ac:dyDescent="0.35">
      <c r="A24" s="262">
        <v>6</v>
      </c>
      <c r="B24" s="261" t="s">
        <v>94</v>
      </c>
      <c r="C24" s="261" t="s">
        <v>98</v>
      </c>
      <c r="D24" s="261" t="s">
        <v>60</v>
      </c>
      <c r="E24" s="261" t="s">
        <v>104</v>
      </c>
      <c r="F24" s="381" t="s">
        <v>220</v>
      </c>
      <c r="G24" s="261" t="s">
        <v>201</v>
      </c>
      <c r="H24" s="262" t="s">
        <v>198</v>
      </c>
      <c r="I24" s="261" t="s">
        <v>241</v>
      </c>
      <c r="J24" s="261" t="s">
        <v>242</v>
      </c>
      <c r="K24" s="261" t="s">
        <v>243</v>
      </c>
      <c r="L24" s="261" t="s">
        <v>244</v>
      </c>
      <c r="M24" s="261" t="s">
        <v>224</v>
      </c>
      <c r="N24" s="273" t="s">
        <v>67</v>
      </c>
      <c r="O24" s="365">
        <v>44958</v>
      </c>
      <c r="P24" s="365">
        <v>45291</v>
      </c>
      <c r="Q24" s="15" t="s">
        <v>68</v>
      </c>
      <c r="R24" s="16">
        <f>+(R25*S24)</f>
        <v>1.5625E-2</v>
      </c>
      <c r="S24" s="218">
        <f t="shared" si="0"/>
        <v>0.25</v>
      </c>
      <c r="T24" s="18"/>
      <c r="U24" s="18"/>
      <c r="V24" s="18">
        <v>0.25</v>
      </c>
      <c r="W24" s="18"/>
      <c r="X24" s="18"/>
      <c r="Y24" s="18"/>
      <c r="Z24" s="18"/>
      <c r="AA24" s="19"/>
      <c r="AB24" s="19"/>
      <c r="AC24" s="19"/>
      <c r="AD24" s="19"/>
      <c r="AE24" s="19"/>
      <c r="AF24" s="19"/>
      <c r="AG24" s="363" t="s">
        <v>245</v>
      </c>
      <c r="AH24" s="361"/>
      <c r="AI24" s="361"/>
      <c r="AJ24" s="361"/>
    </row>
    <row r="25" spans="1:36" ht="88.5" customHeight="1" x14ac:dyDescent="0.35">
      <c r="A25" s="271"/>
      <c r="B25" s="261"/>
      <c r="C25" s="261"/>
      <c r="D25" s="261"/>
      <c r="E25" s="261"/>
      <c r="F25" s="381"/>
      <c r="G25" s="261"/>
      <c r="H25" s="263"/>
      <c r="I25" s="261"/>
      <c r="J25" s="261"/>
      <c r="K25" s="261"/>
      <c r="L25" s="261"/>
      <c r="M25" s="261"/>
      <c r="N25" s="273"/>
      <c r="O25" s="365"/>
      <c r="P25" s="365"/>
      <c r="Q25" s="15" t="s">
        <v>69</v>
      </c>
      <c r="R25" s="21">
        <f>100%/16</f>
        <v>6.25E-2</v>
      </c>
      <c r="S25" s="218">
        <f t="shared" si="0"/>
        <v>1</v>
      </c>
      <c r="T25" s="22"/>
      <c r="U25" s="22"/>
      <c r="V25" s="22">
        <v>0.25</v>
      </c>
      <c r="W25" s="22"/>
      <c r="X25" s="22"/>
      <c r="Y25" s="22">
        <v>0.25</v>
      </c>
      <c r="Z25" s="22"/>
      <c r="AA25" s="22"/>
      <c r="AB25" s="22">
        <v>0.25</v>
      </c>
      <c r="AC25" s="22"/>
      <c r="AD25" s="22"/>
      <c r="AE25" s="22">
        <v>0.25</v>
      </c>
      <c r="AF25" s="22"/>
      <c r="AG25" s="364"/>
      <c r="AH25" s="362"/>
      <c r="AI25" s="362"/>
      <c r="AJ25" s="362"/>
    </row>
    <row r="26" spans="1:36" ht="88.5" customHeight="1" x14ac:dyDescent="0.35">
      <c r="A26" s="262">
        <v>7</v>
      </c>
      <c r="B26" s="261" t="s">
        <v>81</v>
      </c>
      <c r="C26" s="261" t="s">
        <v>82</v>
      </c>
      <c r="D26" s="261" t="s">
        <v>60</v>
      </c>
      <c r="E26" s="261" t="s">
        <v>83</v>
      </c>
      <c r="F26" s="381" t="s">
        <v>220</v>
      </c>
      <c r="G26" s="262" t="s">
        <v>246</v>
      </c>
      <c r="H26" s="28" t="s">
        <v>84</v>
      </c>
      <c r="I26" s="262" t="s">
        <v>247</v>
      </c>
      <c r="J26" s="262" t="s">
        <v>247</v>
      </c>
      <c r="K26" s="262" t="s">
        <v>248</v>
      </c>
      <c r="L26" s="262" t="s">
        <v>232</v>
      </c>
      <c r="M26" s="262" t="s">
        <v>224</v>
      </c>
      <c r="N26" s="275" t="s">
        <v>133</v>
      </c>
      <c r="O26" s="365">
        <v>45292</v>
      </c>
      <c r="P26" s="365">
        <v>45657</v>
      </c>
      <c r="Q26" s="15" t="s">
        <v>68</v>
      </c>
      <c r="R26" s="16">
        <f>+(R27*S26)</f>
        <v>0</v>
      </c>
      <c r="S26" s="218">
        <f t="shared" si="0"/>
        <v>0</v>
      </c>
      <c r="T26" s="18"/>
      <c r="U26" s="18"/>
      <c r="V26" s="18"/>
      <c r="W26" s="18"/>
      <c r="X26" s="18"/>
      <c r="Y26" s="18"/>
      <c r="Z26" s="18"/>
      <c r="AA26" s="18"/>
      <c r="AB26" s="19"/>
      <c r="AC26" s="19"/>
      <c r="AD26" s="19"/>
      <c r="AE26" s="19"/>
      <c r="AF26" s="19"/>
      <c r="AG26" s="376" t="s">
        <v>225</v>
      </c>
      <c r="AH26" s="361"/>
      <c r="AI26" s="361"/>
      <c r="AJ26" s="361"/>
    </row>
    <row r="27" spans="1:36" ht="88.5" customHeight="1" x14ac:dyDescent="0.35">
      <c r="A27" s="271"/>
      <c r="B27" s="261"/>
      <c r="C27" s="261"/>
      <c r="D27" s="261"/>
      <c r="E27" s="261"/>
      <c r="F27" s="381"/>
      <c r="G27" s="263"/>
      <c r="H27" s="28" t="s">
        <v>87</v>
      </c>
      <c r="I27" s="263"/>
      <c r="J27" s="263"/>
      <c r="K27" s="263"/>
      <c r="L27" s="263"/>
      <c r="M27" s="271"/>
      <c r="N27" s="276"/>
      <c r="O27" s="365"/>
      <c r="P27" s="365"/>
      <c r="Q27" s="15" t="s">
        <v>69</v>
      </c>
      <c r="R27" s="21">
        <f>100%/16</f>
        <v>6.25E-2</v>
      </c>
      <c r="S27" s="218">
        <f t="shared" si="0"/>
        <v>1</v>
      </c>
      <c r="T27" s="22"/>
      <c r="U27" s="22"/>
      <c r="V27" s="22"/>
      <c r="W27" s="22"/>
      <c r="X27" s="22"/>
      <c r="Y27" s="22">
        <v>0.5</v>
      </c>
      <c r="Z27" s="22"/>
      <c r="AA27" s="22"/>
      <c r="AB27" s="22"/>
      <c r="AC27" s="22"/>
      <c r="AD27" s="22"/>
      <c r="AE27" s="22">
        <v>0.5</v>
      </c>
      <c r="AF27" s="22"/>
      <c r="AG27" s="377"/>
      <c r="AH27" s="362"/>
      <c r="AI27" s="362"/>
      <c r="AJ27" s="362"/>
    </row>
    <row r="28" spans="1:36" ht="88.5" customHeight="1" x14ac:dyDescent="0.35">
      <c r="A28" s="262">
        <v>8</v>
      </c>
      <c r="B28" s="261" t="s">
        <v>94</v>
      </c>
      <c r="C28" s="261" t="s">
        <v>59</v>
      </c>
      <c r="D28" s="261" t="s">
        <v>60</v>
      </c>
      <c r="E28" s="261" t="s">
        <v>95</v>
      </c>
      <c r="F28" s="381" t="s">
        <v>220</v>
      </c>
      <c r="G28" s="262" t="s">
        <v>184</v>
      </c>
      <c r="H28" s="28" t="s">
        <v>84</v>
      </c>
      <c r="I28" s="262" t="s">
        <v>249</v>
      </c>
      <c r="J28" s="262" t="s">
        <v>249</v>
      </c>
      <c r="K28" s="262" t="s">
        <v>250</v>
      </c>
      <c r="L28" s="262" t="s">
        <v>232</v>
      </c>
      <c r="M28" s="262" t="s">
        <v>224</v>
      </c>
      <c r="N28" s="275" t="s">
        <v>67</v>
      </c>
      <c r="O28" s="365">
        <v>45292</v>
      </c>
      <c r="P28" s="365">
        <v>45657</v>
      </c>
      <c r="Q28" s="15" t="s">
        <v>68</v>
      </c>
      <c r="R28" s="16">
        <f>+(R29*S28)</f>
        <v>1.4250000000000001E-2</v>
      </c>
      <c r="S28" s="218">
        <f t="shared" si="0"/>
        <v>0.22800000000000001</v>
      </c>
      <c r="T28" s="18"/>
      <c r="U28" s="18"/>
      <c r="V28" s="18">
        <f>V29*91.2%/100%</f>
        <v>0.22800000000000001</v>
      </c>
      <c r="W28" s="18"/>
      <c r="X28" s="18"/>
      <c r="Y28" s="18"/>
      <c r="Z28" s="18"/>
      <c r="AA28" s="18"/>
      <c r="AB28" s="19"/>
      <c r="AC28" s="19"/>
      <c r="AD28" s="19"/>
      <c r="AE28" s="19"/>
      <c r="AF28" s="19"/>
      <c r="AG28" s="363" t="s">
        <v>251</v>
      </c>
      <c r="AH28" s="361"/>
      <c r="AI28" s="361"/>
      <c r="AJ28" s="361"/>
    </row>
    <row r="29" spans="1:36" ht="88.5" customHeight="1" x14ac:dyDescent="0.35">
      <c r="A29" s="271"/>
      <c r="B29" s="261"/>
      <c r="C29" s="261"/>
      <c r="D29" s="261"/>
      <c r="E29" s="261"/>
      <c r="F29" s="381"/>
      <c r="G29" s="263"/>
      <c r="H29" s="28" t="s">
        <v>87</v>
      </c>
      <c r="I29" s="263"/>
      <c r="J29" s="263"/>
      <c r="K29" s="263"/>
      <c r="L29" s="263"/>
      <c r="M29" s="271"/>
      <c r="N29" s="276"/>
      <c r="O29" s="365"/>
      <c r="P29" s="365"/>
      <c r="Q29" s="15" t="s">
        <v>69</v>
      </c>
      <c r="R29" s="21">
        <f>100%/16</f>
        <v>6.25E-2</v>
      </c>
      <c r="S29" s="218">
        <f t="shared" si="0"/>
        <v>1</v>
      </c>
      <c r="T29" s="22"/>
      <c r="U29" s="22"/>
      <c r="V29" s="22">
        <v>0.25</v>
      </c>
      <c r="W29" s="22"/>
      <c r="X29" s="22"/>
      <c r="Y29" s="22">
        <v>0.25</v>
      </c>
      <c r="Z29" s="22"/>
      <c r="AA29" s="22"/>
      <c r="AB29" s="22">
        <v>0.25</v>
      </c>
      <c r="AC29" s="22"/>
      <c r="AD29" s="22"/>
      <c r="AE29" s="22">
        <v>0.25</v>
      </c>
      <c r="AF29" s="22"/>
      <c r="AG29" s="364"/>
      <c r="AH29" s="362"/>
      <c r="AI29" s="362"/>
      <c r="AJ29" s="362"/>
    </row>
    <row r="30" spans="1:36" ht="88.5" customHeight="1" x14ac:dyDescent="0.35">
      <c r="A30" s="262">
        <v>9</v>
      </c>
      <c r="B30" s="261" t="s">
        <v>58</v>
      </c>
      <c r="C30" s="261" t="s">
        <v>103</v>
      </c>
      <c r="D30" s="261" t="s">
        <v>60</v>
      </c>
      <c r="E30" s="261" t="s">
        <v>155</v>
      </c>
      <c r="F30" s="381" t="s">
        <v>220</v>
      </c>
      <c r="G30" s="262" t="s">
        <v>62</v>
      </c>
      <c r="H30" s="262" t="s">
        <v>186</v>
      </c>
      <c r="I30" s="261" t="s">
        <v>252</v>
      </c>
      <c r="J30" s="261" t="s">
        <v>252</v>
      </c>
      <c r="K30" s="261" t="s">
        <v>253</v>
      </c>
      <c r="L30" s="261" t="s">
        <v>232</v>
      </c>
      <c r="M30" s="261" t="s">
        <v>224</v>
      </c>
      <c r="N30" s="273" t="s">
        <v>67</v>
      </c>
      <c r="O30" s="365">
        <v>45292</v>
      </c>
      <c r="P30" s="365">
        <v>45657</v>
      </c>
      <c r="Q30" s="15" t="s">
        <v>68</v>
      </c>
      <c r="R30" s="16">
        <f>+(R31*S30)</f>
        <v>1.5625E-2</v>
      </c>
      <c r="S30" s="218">
        <f t="shared" si="0"/>
        <v>0.25</v>
      </c>
      <c r="T30" s="18"/>
      <c r="U30" s="18"/>
      <c r="V30" s="18">
        <v>0.25</v>
      </c>
      <c r="W30" s="18"/>
      <c r="X30" s="18"/>
      <c r="Y30" s="18"/>
      <c r="Z30" s="18"/>
      <c r="AA30" s="18"/>
      <c r="AB30" s="19"/>
      <c r="AC30" s="19"/>
      <c r="AD30" s="19"/>
      <c r="AE30" s="19"/>
      <c r="AF30" s="19"/>
      <c r="AG30" s="363" t="s">
        <v>254</v>
      </c>
      <c r="AH30" s="361"/>
      <c r="AI30" s="361"/>
      <c r="AJ30" s="361"/>
    </row>
    <row r="31" spans="1:36" ht="88.5" customHeight="1" x14ac:dyDescent="0.35">
      <c r="A31" s="271"/>
      <c r="B31" s="261"/>
      <c r="C31" s="261"/>
      <c r="D31" s="261"/>
      <c r="E31" s="261"/>
      <c r="F31" s="381"/>
      <c r="G31" s="263"/>
      <c r="H31" s="263"/>
      <c r="I31" s="261"/>
      <c r="J31" s="261"/>
      <c r="K31" s="261"/>
      <c r="L31" s="261"/>
      <c r="M31" s="261"/>
      <c r="N31" s="273"/>
      <c r="O31" s="365"/>
      <c r="P31" s="365"/>
      <c r="Q31" s="15" t="s">
        <v>69</v>
      </c>
      <c r="R31" s="21">
        <f>100%/16</f>
        <v>6.25E-2</v>
      </c>
      <c r="S31" s="218">
        <f t="shared" si="0"/>
        <v>1</v>
      </c>
      <c r="T31" s="22"/>
      <c r="U31" s="22"/>
      <c r="V31" s="22">
        <v>0.25</v>
      </c>
      <c r="W31" s="22"/>
      <c r="X31" s="22"/>
      <c r="Y31" s="22">
        <v>0.25</v>
      </c>
      <c r="Z31" s="22"/>
      <c r="AA31" s="22"/>
      <c r="AB31" s="22">
        <v>0.25</v>
      </c>
      <c r="AC31" s="22"/>
      <c r="AD31" s="22"/>
      <c r="AE31" s="22">
        <v>0.25</v>
      </c>
      <c r="AF31" s="22"/>
      <c r="AG31" s="364"/>
      <c r="AH31" s="362"/>
      <c r="AI31" s="362"/>
      <c r="AJ31" s="362"/>
    </row>
    <row r="32" spans="1:36" ht="196" customHeight="1" x14ac:dyDescent="0.35">
      <c r="A32" s="262">
        <v>10</v>
      </c>
      <c r="B32" s="261" t="s">
        <v>94</v>
      </c>
      <c r="C32" s="261" t="s">
        <v>150</v>
      </c>
      <c r="D32" s="261" t="s">
        <v>134</v>
      </c>
      <c r="E32" s="261" t="s">
        <v>161</v>
      </c>
      <c r="F32" s="381" t="s">
        <v>220</v>
      </c>
      <c r="G32" s="261" t="s">
        <v>199</v>
      </c>
      <c r="H32" s="262" t="s">
        <v>198</v>
      </c>
      <c r="I32" s="367" t="s">
        <v>255</v>
      </c>
      <c r="J32" s="367" t="s">
        <v>255</v>
      </c>
      <c r="K32" s="367" t="s">
        <v>256</v>
      </c>
      <c r="L32" s="262" t="s">
        <v>232</v>
      </c>
      <c r="M32" s="262" t="s">
        <v>224</v>
      </c>
      <c r="N32" s="275" t="s">
        <v>67</v>
      </c>
      <c r="O32" s="382">
        <v>45292</v>
      </c>
      <c r="P32" s="382">
        <v>45657</v>
      </c>
      <c r="Q32" s="15" t="s">
        <v>68</v>
      </c>
      <c r="R32" s="16">
        <f>+(R33*S32)</f>
        <v>1.5984374999999999E-2</v>
      </c>
      <c r="S32" s="218">
        <f t="shared" si="0"/>
        <v>0.25574999999999998</v>
      </c>
      <c r="T32" s="73"/>
      <c r="U32" s="73"/>
      <c r="V32" s="74">
        <f>V33*102.3%/100%</f>
        <v>0.25574999999999998</v>
      </c>
      <c r="W32" s="74"/>
      <c r="X32" s="75"/>
      <c r="Y32" s="75"/>
      <c r="Z32" s="75"/>
      <c r="AA32" s="75"/>
      <c r="AB32" s="76"/>
      <c r="AC32" s="76"/>
      <c r="AD32" s="76"/>
      <c r="AE32" s="76"/>
      <c r="AF32" s="76"/>
      <c r="AG32" s="384" t="s">
        <v>257</v>
      </c>
      <c r="AH32" s="363"/>
      <c r="AI32" s="363"/>
      <c r="AJ32" s="363"/>
    </row>
    <row r="33" spans="1:36" ht="88.5" customHeight="1" x14ac:dyDescent="0.35">
      <c r="A33" s="271"/>
      <c r="B33" s="261"/>
      <c r="C33" s="261"/>
      <c r="D33" s="261"/>
      <c r="E33" s="261"/>
      <c r="F33" s="381"/>
      <c r="G33" s="261"/>
      <c r="H33" s="263"/>
      <c r="I33" s="367"/>
      <c r="J33" s="367"/>
      <c r="K33" s="367"/>
      <c r="L33" s="263"/>
      <c r="M33" s="263"/>
      <c r="N33" s="277"/>
      <c r="O33" s="383"/>
      <c r="P33" s="383"/>
      <c r="Q33" s="15" t="s">
        <v>69</v>
      </c>
      <c r="R33" s="21">
        <f>100%/16</f>
        <v>6.25E-2</v>
      </c>
      <c r="S33" s="218">
        <f t="shared" si="0"/>
        <v>1</v>
      </c>
      <c r="T33" s="77"/>
      <c r="U33" s="77"/>
      <c r="V33" s="22">
        <v>0.25</v>
      </c>
      <c r="W33" s="22"/>
      <c r="X33" s="22"/>
      <c r="Y33" s="22">
        <v>0.25</v>
      </c>
      <c r="Z33" s="22"/>
      <c r="AA33" s="22"/>
      <c r="AB33" s="22">
        <v>0.25</v>
      </c>
      <c r="AC33" s="22"/>
      <c r="AD33" s="22"/>
      <c r="AE33" s="22">
        <v>0.25</v>
      </c>
      <c r="AF33" s="22"/>
      <c r="AG33" s="385"/>
      <c r="AH33" s="362"/>
      <c r="AI33" s="362"/>
      <c r="AJ33" s="362"/>
    </row>
    <row r="34" spans="1:36" ht="106.5" customHeight="1" x14ac:dyDescent="0.35">
      <c r="A34" s="262">
        <v>11</v>
      </c>
      <c r="B34" s="261" t="s">
        <v>94</v>
      </c>
      <c r="C34" s="261" t="s">
        <v>59</v>
      </c>
      <c r="D34" s="261" t="s">
        <v>71</v>
      </c>
      <c r="E34" s="261" t="s">
        <v>72</v>
      </c>
      <c r="F34" s="381" t="s">
        <v>220</v>
      </c>
      <c r="G34" s="261" t="s">
        <v>190</v>
      </c>
      <c r="H34" s="262" t="s">
        <v>186</v>
      </c>
      <c r="I34" s="367" t="s">
        <v>258</v>
      </c>
      <c r="J34" s="367" t="s">
        <v>259</v>
      </c>
      <c r="K34" s="367" t="s">
        <v>260</v>
      </c>
      <c r="L34" s="262" t="s">
        <v>232</v>
      </c>
      <c r="M34" s="262" t="s">
        <v>224</v>
      </c>
      <c r="N34" s="275" t="s">
        <v>67</v>
      </c>
      <c r="O34" s="382">
        <v>45292</v>
      </c>
      <c r="P34" s="382">
        <v>45657</v>
      </c>
      <c r="Q34" s="15" t="s">
        <v>68</v>
      </c>
      <c r="R34" s="16">
        <f>+(R35*S34)</f>
        <v>1.5625E-2</v>
      </c>
      <c r="S34" s="218">
        <f t="shared" si="0"/>
        <v>0.25</v>
      </c>
      <c r="T34" s="77"/>
      <c r="U34" s="77"/>
      <c r="V34" s="22">
        <v>0.25</v>
      </c>
      <c r="W34" s="77"/>
      <c r="X34" s="77"/>
      <c r="Y34" s="77"/>
      <c r="Z34" s="77"/>
      <c r="AA34" s="77"/>
      <c r="AB34" s="77"/>
      <c r="AC34" s="77"/>
      <c r="AD34" s="77"/>
      <c r="AE34" s="77"/>
      <c r="AF34" s="213"/>
      <c r="AG34" s="386" t="s">
        <v>261</v>
      </c>
      <c r="AH34" s="72"/>
      <c r="AI34" s="72"/>
      <c r="AJ34" s="72"/>
    </row>
    <row r="35" spans="1:36" ht="88.5" customHeight="1" x14ac:dyDescent="0.35">
      <c r="A35" s="271"/>
      <c r="B35" s="261"/>
      <c r="C35" s="261"/>
      <c r="D35" s="261"/>
      <c r="E35" s="261"/>
      <c r="F35" s="381"/>
      <c r="G35" s="261"/>
      <c r="H35" s="263"/>
      <c r="I35" s="367"/>
      <c r="J35" s="367"/>
      <c r="K35" s="367"/>
      <c r="L35" s="263"/>
      <c r="M35" s="263"/>
      <c r="N35" s="277"/>
      <c r="O35" s="383"/>
      <c r="P35" s="383"/>
      <c r="Q35" s="15" t="s">
        <v>69</v>
      </c>
      <c r="R35" s="21">
        <f>100%/16</f>
        <v>6.25E-2</v>
      </c>
      <c r="S35" s="218">
        <f t="shared" si="0"/>
        <v>1</v>
      </c>
      <c r="T35" s="77"/>
      <c r="U35" s="77"/>
      <c r="V35" s="22">
        <v>0.25</v>
      </c>
      <c r="W35" s="22"/>
      <c r="X35" s="22"/>
      <c r="Y35" s="22">
        <v>0.25</v>
      </c>
      <c r="Z35" s="22"/>
      <c r="AA35" s="22"/>
      <c r="AB35" s="22">
        <v>0.25</v>
      </c>
      <c r="AC35" s="22"/>
      <c r="AD35" s="22"/>
      <c r="AE35" s="22">
        <v>0.25</v>
      </c>
      <c r="AF35" s="23"/>
      <c r="AG35" s="386"/>
      <c r="AH35" s="72"/>
      <c r="AI35" s="72"/>
      <c r="AJ35" s="72"/>
    </row>
    <row r="36" spans="1:36" ht="109.5" customHeight="1" x14ac:dyDescent="0.35">
      <c r="A36" s="262">
        <v>12</v>
      </c>
      <c r="B36" s="367" t="s">
        <v>76</v>
      </c>
      <c r="C36" s="261" t="s">
        <v>77</v>
      </c>
      <c r="D36" s="261" t="s">
        <v>78</v>
      </c>
      <c r="E36" s="261" t="s">
        <v>79</v>
      </c>
      <c r="F36" s="381" t="s">
        <v>220</v>
      </c>
      <c r="G36" s="262" t="s">
        <v>14</v>
      </c>
      <c r="H36" s="262" t="s">
        <v>198</v>
      </c>
      <c r="I36" s="262" t="s">
        <v>262</v>
      </c>
      <c r="J36" s="368" t="s">
        <v>263</v>
      </c>
      <c r="K36" s="368" t="s">
        <v>264</v>
      </c>
      <c r="L36" s="368" t="s">
        <v>232</v>
      </c>
      <c r="M36" s="368" t="s">
        <v>224</v>
      </c>
      <c r="N36" s="370" t="s">
        <v>67</v>
      </c>
      <c r="O36" s="372">
        <v>45352</v>
      </c>
      <c r="P36" s="372" t="s">
        <v>265</v>
      </c>
      <c r="Q36" s="15" t="s">
        <v>68</v>
      </c>
      <c r="R36" s="16">
        <f>+(R37*S36)</f>
        <v>1.20625E-2</v>
      </c>
      <c r="S36" s="218">
        <f t="shared" si="0"/>
        <v>0.193</v>
      </c>
      <c r="T36" s="73"/>
      <c r="U36" s="73"/>
      <c r="V36" s="74">
        <v>0.193</v>
      </c>
      <c r="W36" s="74"/>
      <c r="X36" s="75"/>
      <c r="Y36" s="75"/>
      <c r="Z36" s="75"/>
      <c r="AA36" s="75"/>
      <c r="AB36" s="76"/>
      <c r="AC36" s="76"/>
      <c r="AD36" s="76"/>
      <c r="AE36" s="76"/>
      <c r="AF36" s="76"/>
      <c r="AG36" s="373" t="s">
        <v>266</v>
      </c>
      <c r="AH36" s="380"/>
      <c r="AI36" s="380"/>
      <c r="AJ36" s="380"/>
    </row>
    <row r="37" spans="1:36" ht="109.5" customHeight="1" x14ac:dyDescent="0.35">
      <c r="A37" s="271"/>
      <c r="B37" s="367"/>
      <c r="C37" s="261"/>
      <c r="D37" s="261"/>
      <c r="E37" s="261"/>
      <c r="F37" s="381"/>
      <c r="G37" s="263"/>
      <c r="H37" s="263"/>
      <c r="I37" s="271"/>
      <c r="J37" s="375"/>
      <c r="K37" s="369"/>
      <c r="L37" s="369"/>
      <c r="M37" s="375"/>
      <c r="N37" s="378"/>
      <c r="O37" s="372"/>
      <c r="P37" s="372"/>
      <c r="Q37" s="15" t="s">
        <v>69</v>
      </c>
      <c r="R37" s="21">
        <f>100%/16</f>
        <v>6.25E-2</v>
      </c>
      <c r="S37" s="218">
        <f t="shared" si="0"/>
        <v>1</v>
      </c>
      <c r="T37" s="77"/>
      <c r="U37" s="77"/>
      <c r="V37" s="77">
        <v>0.193</v>
      </c>
      <c r="W37" s="77"/>
      <c r="X37" s="77"/>
      <c r="Y37" s="77">
        <v>0.80700000000000005</v>
      </c>
      <c r="Z37" s="77"/>
      <c r="AA37" s="77"/>
      <c r="AB37" s="77"/>
      <c r="AC37" s="77"/>
      <c r="AD37" s="77"/>
      <c r="AE37" s="77"/>
      <c r="AF37" s="77"/>
      <c r="AG37" s="374"/>
      <c r="AH37" s="380"/>
      <c r="AI37" s="380"/>
      <c r="AJ37" s="380"/>
    </row>
    <row r="38" spans="1:36" ht="88.5" customHeight="1" x14ac:dyDescent="0.35">
      <c r="A38" s="262">
        <v>13</v>
      </c>
      <c r="B38" s="367" t="s">
        <v>76</v>
      </c>
      <c r="C38" s="367" t="s">
        <v>77</v>
      </c>
      <c r="D38" s="367" t="s">
        <v>78</v>
      </c>
      <c r="E38" s="367" t="s">
        <v>79</v>
      </c>
      <c r="F38" s="379" t="s">
        <v>220</v>
      </c>
      <c r="G38" s="368" t="s">
        <v>14</v>
      </c>
      <c r="H38" s="368" t="s">
        <v>198</v>
      </c>
      <c r="I38" s="368" t="s">
        <v>262</v>
      </c>
      <c r="J38" s="368" t="s">
        <v>267</v>
      </c>
      <c r="K38" s="368" t="s">
        <v>268</v>
      </c>
      <c r="L38" s="368" t="s">
        <v>232</v>
      </c>
      <c r="M38" s="368" t="s">
        <v>224</v>
      </c>
      <c r="N38" s="370" t="s">
        <v>67</v>
      </c>
      <c r="O38" s="372">
        <v>45292</v>
      </c>
      <c r="P38" s="372">
        <v>45657</v>
      </c>
      <c r="Q38" s="15" t="s">
        <v>68</v>
      </c>
      <c r="R38" s="16">
        <f>+(R39*S38)</f>
        <v>0</v>
      </c>
      <c r="S38" s="218">
        <f t="shared" si="0"/>
        <v>0</v>
      </c>
      <c r="T38" s="73"/>
      <c r="U38" s="73"/>
      <c r="V38" s="74">
        <v>0</v>
      </c>
      <c r="W38" s="74"/>
      <c r="X38" s="75"/>
      <c r="Y38" s="75"/>
      <c r="Z38" s="75"/>
      <c r="AA38" s="75"/>
      <c r="AB38" s="76"/>
      <c r="AC38" s="76"/>
      <c r="AD38" s="76"/>
      <c r="AE38" s="76"/>
      <c r="AF38" s="76"/>
      <c r="AG38" s="373" t="s">
        <v>269</v>
      </c>
      <c r="AH38" s="363"/>
      <c r="AI38" s="363"/>
      <c r="AJ38" s="363"/>
    </row>
    <row r="39" spans="1:36" ht="88.5" customHeight="1" x14ac:dyDescent="0.35">
      <c r="A39" s="271"/>
      <c r="B39" s="367"/>
      <c r="C39" s="367"/>
      <c r="D39" s="367"/>
      <c r="E39" s="367"/>
      <c r="F39" s="379"/>
      <c r="G39" s="369"/>
      <c r="H39" s="369"/>
      <c r="I39" s="375"/>
      <c r="J39" s="375"/>
      <c r="K39" s="369"/>
      <c r="L39" s="369"/>
      <c r="M39" s="375"/>
      <c r="N39" s="378"/>
      <c r="O39" s="372"/>
      <c r="P39" s="372"/>
      <c r="Q39" s="15" t="s">
        <v>69</v>
      </c>
      <c r="R39" s="21">
        <f>100%/16</f>
        <v>6.25E-2</v>
      </c>
      <c r="S39" s="218">
        <f t="shared" si="0"/>
        <v>1</v>
      </c>
      <c r="T39" s="77"/>
      <c r="U39" s="77"/>
      <c r="V39" s="77">
        <v>0</v>
      </c>
      <c r="W39" s="77"/>
      <c r="X39" s="77"/>
      <c r="Y39" s="77">
        <v>0.33</v>
      </c>
      <c r="Z39" s="77"/>
      <c r="AA39" s="77"/>
      <c r="AB39" s="77">
        <v>0.33</v>
      </c>
      <c r="AC39" s="77"/>
      <c r="AD39" s="77"/>
      <c r="AE39" s="77">
        <v>0.34</v>
      </c>
      <c r="AF39" s="77"/>
      <c r="AG39" s="374"/>
      <c r="AH39" s="362"/>
      <c r="AI39" s="362"/>
      <c r="AJ39" s="362"/>
    </row>
    <row r="40" spans="1:36" ht="88.5" customHeight="1" x14ac:dyDescent="0.35">
      <c r="A40" s="262">
        <v>14</v>
      </c>
      <c r="B40" s="367" t="s">
        <v>76</v>
      </c>
      <c r="C40" s="367" t="s">
        <v>77</v>
      </c>
      <c r="D40" s="367" t="s">
        <v>78</v>
      </c>
      <c r="E40" s="367" t="s">
        <v>79</v>
      </c>
      <c r="F40" s="379" t="s">
        <v>220</v>
      </c>
      <c r="G40" s="368" t="s">
        <v>14</v>
      </c>
      <c r="H40" s="368" t="s">
        <v>198</v>
      </c>
      <c r="I40" s="368" t="s">
        <v>262</v>
      </c>
      <c r="J40" s="368" t="s">
        <v>270</v>
      </c>
      <c r="K40" s="368" t="s">
        <v>271</v>
      </c>
      <c r="L40" s="368" t="s">
        <v>232</v>
      </c>
      <c r="M40" s="368" t="s">
        <v>224</v>
      </c>
      <c r="N40" s="370" t="s">
        <v>67</v>
      </c>
      <c r="O40" s="372">
        <v>45352</v>
      </c>
      <c r="P40" s="372">
        <v>45657</v>
      </c>
      <c r="Q40" s="15" t="s">
        <v>68</v>
      </c>
      <c r="R40" s="16">
        <f>+(R41*S40)</f>
        <v>1.2812499999999999E-2</v>
      </c>
      <c r="S40" s="218">
        <f t="shared" si="0"/>
        <v>0.20499999999999999</v>
      </c>
      <c r="T40" s="73"/>
      <c r="U40" s="73"/>
      <c r="V40" s="74">
        <v>0.20499999999999999</v>
      </c>
      <c r="W40" s="74"/>
      <c r="X40" s="75"/>
      <c r="Y40" s="75"/>
      <c r="Z40" s="75"/>
      <c r="AA40" s="75"/>
      <c r="AB40" s="76"/>
      <c r="AC40" s="76"/>
      <c r="AD40" s="76"/>
      <c r="AE40" s="76"/>
      <c r="AF40" s="76"/>
      <c r="AG40" s="373" t="s">
        <v>272</v>
      </c>
      <c r="AH40" s="363"/>
      <c r="AI40" s="363"/>
      <c r="AJ40" s="363"/>
    </row>
    <row r="41" spans="1:36" ht="88.5" customHeight="1" x14ac:dyDescent="0.35">
      <c r="A41" s="271"/>
      <c r="B41" s="367"/>
      <c r="C41" s="367"/>
      <c r="D41" s="367"/>
      <c r="E41" s="367"/>
      <c r="F41" s="379"/>
      <c r="G41" s="369"/>
      <c r="H41" s="369"/>
      <c r="I41" s="375"/>
      <c r="J41" s="375"/>
      <c r="K41" s="369"/>
      <c r="L41" s="369"/>
      <c r="M41" s="375"/>
      <c r="N41" s="378"/>
      <c r="O41" s="372"/>
      <c r="P41" s="372"/>
      <c r="Q41" s="15" t="s">
        <v>69</v>
      </c>
      <c r="R41" s="21">
        <f>100%/16</f>
        <v>6.25E-2</v>
      </c>
      <c r="S41" s="218">
        <f t="shared" si="0"/>
        <v>1</v>
      </c>
      <c r="T41" s="77"/>
      <c r="U41" s="77"/>
      <c r="V41" s="77">
        <v>0.20499999999999999</v>
      </c>
      <c r="W41" s="77"/>
      <c r="X41" s="77"/>
      <c r="Y41" s="77">
        <v>0.27400000000000002</v>
      </c>
      <c r="Z41" s="77"/>
      <c r="AA41" s="77"/>
      <c r="AB41" s="77">
        <v>0.27400000000000002</v>
      </c>
      <c r="AC41" s="77"/>
      <c r="AD41" s="77"/>
      <c r="AE41" s="77">
        <v>0.247</v>
      </c>
      <c r="AF41" s="77"/>
      <c r="AG41" s="374"/>
      <c r="AH41" s="362"/>
      <c r="AI41" s="362"/>
      <c r="AJ41" s="362"/>
    </row>
    <row r="42" spans="1:36" ht="88.5" customHeight="1" x14ac:dyDescent="0.35">
      <c r="A42" s="262">
        <v>15</v>
      </c>
      <c r="B42" s="366" t="s">
        <v>76</v>
      </c>
      <c r="C42" s="367" t="s">
        <v>77</v>
      </c>
      <c r="D42" s="367" t="s">
        <v>78</v>
      </c>
      <c r="E42" s="367" t="s">
        <v>79</v>
      </c>
      <c r="F42" s="214" t="s">
        <v>220</v>
      </c>
      <c r="G42" s="368" t="s">
        <v>14</v>
      </c>
      <c r="H42" s="368" t="s">
        <v>198</v>
      </c>
      <c r="I42" s="368" t="s">
        <v>273</v>
      </c>
      <c r="J42" s="368" t="s">
        <v>273</v>
      </c>
      <c r="K42" s="368" t="s">
        <v>274</v>
      </c>
      <c r="L42" s="368" t="s">
        <v>244</v>
      </c>
      <c r="M42" s="368" t="s">
        <v>224</v>
      </c>
      <c r="N42" s="370" t="s">
        <v>67</v>
      </c>
      <c r="O42" s="372">
        <v>45292</v>
      </c>
      <c r="P42" s="372">
        <v>45657</v>
      </c>
      <c r="Q42" s="15" t="s">
        <v>68</v>
      </c>
      <c r="R42" s="16">
        <f>+(R43*S42)</f>
        <v>6.3749999999999996E-3</v>
      </c>
      <c r="S42" s="218">
        <f t="shared" si="0"/>
        <v>0.10199999999999999</v>
      </c>
      <c r="T42" s="215"/>
      <c r="U42" s="215"/>
      <c r="V42" s="215">
        <v>0.10199999999999999</v>
      </c>
      <c r="W42" s="215"/>
      <c r="X42" s="215"/>
      <c r="Y42" s="215"/>
      <c r="Z42" s="215"/>
      <c r="AA42" s="215"/>
      <c r="AB42" s="215"/>
      <c r="AC42" s="215"/>
      <c r="AD42" s="215"/>
      <c r="AE42" s="215"/>
      <c r="AF42" s="215"/>
      <c r="AG42" s="373" t="s">
        <v>275</v>
      </c>
      <c r="AH42" s="363"/>
      <c r="AI42" s="363"/>
      <c r="AJ42" s="363"/>
    </row>
    <row r="43" spans="1:36" ht="88.5" customHeight="1" x14ac:dyDescent="0.35">
      <c r="A43" s="271"/>
      <c r="B43" s="366"/>
      <c r="C43" s="367"/>
      <c r="D43" s="367"/>
      <c r="E43" s="367"/>
      <c r="F43" s="214"/>
      <c r="G43" s="369"/>
      <c r="H43" s="369"/>
      <c r="I43" s="369"/>
      <c r="J43" s="369"/>
      <c r="K43" s="369"/>
      <c r="L43" s="369"/>
      <c r="M43" s="369"/>
      <c r="N43" s="371"/>
      <c r="O43" s="372"/>
      <c r="P43" s="372"/>
      <c r="Q43" s="15" t="s">
        <v>69</v>
      </c>
      <c r="R43" s="21">
        <f>100%/16</f>
        <v>6.25E-2</v>
      </c>
      <c r="S43" s="218">
        <f t="shared" si="0"/>
        <v>1</v>
      </c>
      <c r="T43" s="77"/>
      <c r="U43" s="77"/>
      <c r="V43" s="77">
        <v>0.10199999999999999</v>
      </c>
      <c r="W43" s="77"/>
      <c r="X43" s="77"/>
      <c r="Y43" s="77">
        <v>0.41399999999999998</v>
      </c>
      <c r="Z43" s="77"/>
      <c r="AA43" s="77"/>
      <c r="AB43" s="77">
        <v>0.38100000000000001</v>
      </c>
      <c r="AC43" s="77"/>
      <c r="AD43" s="77"/>
      <c r="AE43" s="77">
        <v>0.10299999999999999</v>
      </c>
      <c r="AF43" s="77"/>
      <c r="AG43" s="374"/>
      <c r="AH43" s="364"/>
      <c r="AI43" s="364"/>
      <c r="AJ43" s="364"/>
    </row>
    <row r="44" spans="1:36" ht="88.5" customHeight="1" x14ac:dyDescent="0.35">
      <c r="A44" s="262">
        <v>16</v>
      </c>
      <c r="B44" s="261" t="s">
        <v>94</v>
      </c>
      <c r="C44" s="261" t="s">
        <v>59</v>
      </c>
      <c r="D44" s="261" t="s">
        <v>146</v>
      </c>
      <c r="E44" s="261" t="s">
        <v>168</v>
      </c>
      <c r="F44" s="70" t="s">
        <v>220</v>
      </c>
      <c r="G44" s="261" t="s">
        <v>14</v>
      </c>
      <c r="H44" s="262" t="s">
        <v>140</v>
      </c>
      <c r="I44" s="261" t="s">
        <v>276</v>
      </c>
      <c r="J44" s="261" t="s">
        <v>277</v>
      </c>
      <c r="K44" s="261" t="s">
        <v>278</v>
      </c>
      <c r="L44" s="262" t="s">
        <v>244</v>
      </c>
      <c r="M44" s="262" t="s">
        <v>224</v>
      </c>
      <c r="N44" s="275" t="s">
        <v>133</v>
      </c>
      <c r="O44" s="365">
        <v>45292</v>
      </c>
      <c r="P44" s="365">
        <v>45657</v>
      </c>
      <c r="Q44" s="15" t="s">
        <v>68</v>
      </c>
      <c r="R44" s="16">
        <f>+(R45*S44)</f>
        <v>0</v>
      </c>
      <c r="S44" s="218">
        <f t="shared" si="0"/>
        <v>0</v>
      </c>
      <c r="T44" s="25"/>
      <c r="U44" s="25"/>
      <c r="V44" s="25"/>
      <c r="W44" s="25"/>
      <c r="X44" s="25"/>
      <c r="Y44" s="25"/>
      <c r="Z44" s="25"/>
      <c r="AA44" s="25"/>
      <c r="AB44" s="25"/>
      <c r="AC44" s="25"/>
      <c r="AD44" s="25"/>
      <c r="AE44" s="25"/>
      <c r="AF44" s="25"/>
      <c r="AG44" s="376" t="s">
        <v>225</v>
      </c>
      <c r="AH44" s="363"/>
      <c r="AI44" s="361"/>
      <c r="AJ44" s="363"/>
    </row>
    <row r="45" spans="1:36" ht="88.5" customHeight="1" x14ac:dyDescent="0.35">
      <c r="A45" s="271"/>
      <c r="B45" s="261"/>
      <c r="C45" s="261"/>
      <c r="D45" s="261"/>
      <c r="E45" s="261"/>
      <c r="F45" s="70"/>
      <c r="G45" s="261"/>
      <c r="H45" s="263"/>
      <c r="I45" s="261"/>
      <c r="J45" s="261"/>
      <c r="K45" s="261"/>
      <c r="L45" s="263"/>
      <c r="M45" s="263"/>
      <c r="N45" s="277"/>
      <c r="O45" s="365"/>
      <c r="P45" s="365"/>
      <c r="Q45" s="15" t="s">
        <v>69</v>
      </c>
      <c r="R45" s="21">
        <f>100%/16</f>
        <v>6.25E-2</v>
      </c>
      <c r="S45" s="218">
        <f t="shared" si="0"/>
        <v>1</v>
      </c>
      <c r="T45" s="22"/>
      <c r="U45" s="22"/>
      <c r="V45" s="22"/>
      <c r="W45" s="22"/>
      <c r="X45" s="22"/>
      <c r="Y45" s="22">
        <v>0.5</v>
      </c>
      <c r="Z45" s="22"/>
      <c r="AA45" s="22"/>
      <c r="AB45" s="22"/>
      <c r="AC45" s="22"/>
      <c r="AD45" s="22"/>
      <c r="AE45" s="22">
        <v>0.5</v>
      </c>
      <c r="AF45" s="22"/>
      <c r="AG45" s="377"/>
      <c r="AH45" s="364"/>
      <c r="AI45" s="362"/>
      <c r="AJ45" s="364"/>
    </row>
    <row r="47" spans="1:36" ht="15" hidden="1" customHeight="1" x14ac:dyDescent="0.35">
      <c r="B47" s="270" t="s">
        <v>26</v>
      </c>
      <c r="C47" s="270" t="s">
        <v>27</v>
      </c>
      <c r="D47" s="270" t="s">
        <v>28</v>
      </c>
      <c r="E47" s="270" t="s">
        <v>29</v>
      </c>
      <c r="F47" s="270" t="s">
        <v>30</v>
      </c>
      <c r="G47" s="268" t="s">
        <v>31</v>
      </c>
      <c r="M47" s="268" t="s">
        <v>121</v>
      </c>
    </row>
    <row r="48" spans="1:36" ht="15" hidden="1" customHeight="1" x14ac:dyDescent="0.35">
      <c r="B48" s="269"/>
      <c r="C48" s="269"/>
      <c r="D48" s="269"/>
      <c r="E48" s="269"/>
      <c r="F48" s="269"/>
      <c r="G48" s="269"/>
      <c r="M48" s="269"/>
    </row>
    <row r="49" spans="2:13" ht="15" hidden="1" customHeight="1" x14ac:dyDescent="0.35">
      <c r="B49" s="13" t="s">
        <v>70</v>
      </c>
      <c r="C49" s="13" t="s">
        <v>122</v>
      </c>
      <c r="D49" s="13" t="s">
        <v>90</v>
      </c>
      <c r="E49" s="13" t="s">
        <v>91</v>
      </c>
      <c r="F49" s="13" t="s">
        <v>123</v>
      </c>
      <c r="G49" s="13" t="s">
        <v>124</v>
      </c>
      <c r="M49" s="13" t="s">
        <v>125</v>
      </c>
    </row>
    <row r="50" spans="2:13" ht="15" hidden="1" customHeight="1" x14ac:dyDescent="0.35">
      <c r="B50" s="13" t="s">
        <v>94</v>
      </c>
      <c r="C50" s="13" t="s">
        <v>89</v>
      </c>
      <c r="D50" s="13" t="s">
        <v>126</v>
      </c>
      <c r="E50" s="13" t="s">
        <v>127</v>
      </c>
      <c r="F50" s="13" t="s">
        <v>128</v>
      </c>
      <c r="G50" s="13" t="s">
        <v>129</v>
      </c>
      <c r="M50" s="13" t="s">
        <v>67</v>
      </c>
    </row>
    <row r="51" spans="2:13" ht="15" hidden="1" customHeight="1" x14ac:dyDescent="0.35">
      <c r="B51" s="13" t="s">
        <v>58</v>
      </c>
      <c r="C51" s="13" t="s">
        <v>77</v>
      </c>
      <c r="D51" s="13" t="s">
        <v>60</v>
      </c>
      <c r="E51" s="13" t="s">
        <v>130</v>
      </c>
      <c r="F51" s="13" t="s">
        <v>131</v>
      </c>
      <c r="G51" s="13" t="s">
        <v>132</v>
      </c>
      <c r="M51" s="13" t="s">
        <v>133</v>
      </c>
    </row>
    <row r="52" spans="2:13" ht="15" hidden="1" customHeight="1" x14ac:dyDescent="0.35">
      <c r="B52" s="13" t="s">
        <v>76</v>
      </c>
      <c r="C52" s="13" t="s">
        <v>82</v>
      </c>
      <c r="D52" s="13" t="s">
        <v>134</v>
      </c>
      <c r="E52" s="13" t="s">
        <v>135</v>
      </c>
      <c r="F52" s="13" t="s">
        <v>136</v>
      </c>
      <c r="G52" s="13" t="s">
        <v>137</v>
      </c>
    </row>
    <row r="53" spans="2:13" ht="15" hidden="1" customHeight="1" x14ac:dyDescent="0.35">
      <c r="B53" s="13" t="s">
        <v>81</v>
      </c>
      <c r="C53" s="13" t="s">
        <v>98</v>
      </c>
      <c r="D53" s="13" t="s">
        <v>71</v>
      </c>
      <c r="E53" s="13" t="s">
        <v>138</v>
      </c>
      <c r="F53" s="13" t="s">
        <v>139</v>
      </c>
      <c r="G53" s="13" t="s">
        <v>140</v>
      </c>
    </row>
    <row r="54" spans="2:13" ht="15" hidden="1" customHeight="1" x14ac:dyDescent="0.35">
      <c r="B54" s="13" t="s">
        <v>141</v>
      </c>
      <c r="C54" s="13" t="s">
        <v>142</v>
      </c>
      <c r="D54" s="13" t="s">
        <v>78</v>
      </c>
      <c r="E54" s="13" t="s">
        <v>104</v>
      </c>
      <c r="F54" s="13" t="s">
        <v>143</v>
      </c>
      <c r="G54" s="13" t="s">
        <v>87</v>
      </c>
    </row>
    <row r="55" spans="2:13" ht="15" hidden="1" customHeight="1" x14ac:dyDescent="0.35">
      <c r="B55" s="13" t="s">
        <v>144</v>
      </c>
      <c r="C55" s="13" t="s">
        <v>145</v>
      </c>
      <c r="D55" s="13" t="s">
        <v>146</v>
      </c>
      <c r="E55" s="13" t="s">
        <v>83</v>
      </c>
      <c r="F55" s="13" t="s">
        <v>147</v>
      </c>
      <c r="G55" s="13" t="s">
        <v>148</v>
      </c>
    </row>
    <row r="56" spans="2:13" ht="15" hidden="1" customHeight="1" x14ac:dyDescent="0.35">
      <c r="B56" s="13" t="s">
        <v>149</v>
      </c>
      <c r="C56" s="13" t="s">
        <v>150</v>
      </c>
      <c r="E56" s="13" t="s">
        <v>86</v>
      </c>
      <c r="F56" s="13" t="s">
        <v>151</v>
      </c>
      <c r="G56" s="13" t="s">
        <v>105</v>
      </c>
    </row>
    <row r="57" spans="2:13" ht="15" hidden="1" customHeight="1" x14ac:dyDescent="0.35">
      <c r="C57" s="13" t="s">
        <v>103</v>
      </c>
      <c r="E57" s="13" t="s">
        <v>95</v>
      </c>
      <c r="F57" s="13" t="s">
        <v>152</v>
      </c>
      <c r="G57" s="13" t="s">
        <v>73</v>
      </c>
    </row>
    <row r="58" spans="2:13" ht="15" hidden="1" customHeight="1" x14ac:dyDescent="0.35">
      <c r="C58" s="13" t="s">
        <v>59</v>
      </c>
      <c r="E58" s="13" t="s">
        <v>153</v>
      </c>
      <c r="F58" s="13" t="s">
        <v>154</v>
      </c>
      <c r="G58" s="13" t="s">
        <v>92</v>
      </c>
    </row>
    <row r="59" spans="2:13" ht="15" hidden="1" customHeight="1" x14ac:dyDescent="0.35">
      <c r="E59" s="13" t="s">
        <v>155</v>
      </c>
      <c r="F59" s="13" t="s">
        <v>156</v>
      </c>
      <c r="G59" s="13" t="s">
        <v>100</v>
      </c>
    </row>
    <row r="60" spans="2:13" ht="15" hidden="1" customHeight="1" x14ac:dyDescent="0.35">
      <c r="E60" s="13" t="s">
        <v>157</v>
      </c>
      <c r="F60" s="13" t="s">
        <v>158</v>
      </c>
      <c r="G60" s="13" t="s">
        <v>159</v>
      </c>
    </row>
    <row r="61" spans="2:13" ht="15" hidden="1" customHeight="1" x14ac:dyDescent="0.35">
      <c r="E61" s="13" t="s">
        <v>61</v>
      </c>
      <c r="G61" s="13" t="s">
        <v>160</v>
      </c>
    </row>
    <row r="62" spans="2:13" ht="15" hidden="1" customHeight="1" x14ac:dyDescent="0.35">
      <c r="E62" s="13" t="s">
        <v>161</v>
      </c>
      <c r="G62" s="13" t="s">
        <v>162</v>
      </c>
    </row>
    <row r="63" spans="2:13" ht="15" hidden="1" customHeight="1" x14ac:dyDescent="0.35">
      <c r="E63" s="13" t="s">
        <v>72</v>
      </c>
      <c r="G63" s="13" t="s">
        <v>163</v>
      </c>
    </row>
    <row r="64" spans="2:13" ht="15" hidden="1" customHeight="1" x14ac:dyDescent="0.35">
      <c r="E64" s="13" t="s">
        <v>99</v>
      </c>
      <c r="G64" s="13" t="s">
        <v>164</v>
      </c>
    </row>
    <row r="65" spans="5:7" ht="15" hidden="1" customHeight="1" x14ac:dyDescent="0.35">
      <c r="E65" s="13" t="s">
        <v>165</v>
      </c>
      <c r="G65" s="13" t="s">
        <v>166</v>
      </c>
    </row>
    <row r="66" spans="5:7" ht="15" hidden="1" customHeight="1" x14ac:dyDescent="0.35">
      <c r="E66" s="13" t="s">
        <v>79</v>
      </c>
      <c r="G66" s="13" t="s">
        <v>167</v>
      </c>
    </row>
    <row r="67" spans="5:7" ht="15" hidden="1" customHeight="1" x14ac:dyDescent="0.35">
      <c r="E67" s="13" t="s">
        <v>168</v>
      </c>
      <c r="G67" s="13" t="s">
        <v>169</v>
      </c>
    </row>
    <row r="68" spans="5:7" ht="15" hidden="1" customHeight="1" x14ac:dyDescent="0.35">
      <c r="G68" s="13" t="s">
        <v>170</v>
      </c>
    </row>
    <row r="69" spans="5:7" ht="15" hidden="1" customHeight="1" x14ac:dyDescent="0.35">
      <c r="G69" s="13" t="s">
        <v>171</v>
      </c>
    </row>
    <row r="70" spans="5:7" ht="15" hidden="1" customHeight="1" x14ac:dyDescent="0.35">
      <c r="G70" s="13" t="s">
        <v>172</v>
      </c>
    </row>
    <row r="71" spans="5:7" ht="15" hidden="1" customHeight="1" x14ac:dyDescent="0.35">
      <c r="G71" s="13" t="s">
        <v>173</v>
      </c>
    </row>
    <row r="72" spans="5:7" ht="15" hidden="1" customHeight="1" x14ac:dyDescent="0.35">
      <c r="G72" s="13" t="s">
        <v>174</v>
      </c>
    </row>
    <row r="73" spans="5:7" ht="15" hidden="1" customHeight="1" x14ac:dyDescent="0.35">
      <c r="G73" s="13" t="s">
        <v>175</v>
      </c>
    </row>
    <row r="74" spans="5:7" ht="15" hidden="1" customHeight="1" x14ac:dyDescent="0.35">
      <c r="G74" s="13" t="s">
        <v>176</v>
      </c>
    </row>
    <row r="75" spans="5:7" ht="15" hidden="1" customHeight="1" x14ac:dyDescent="0.35">
      <c r="G75" s="13" t="s">
        <v>177</v>
      </c>
    </row>
    <row r="76" spans="5:7" ht="15" hidden="1" customHeight="1" x14ac:dyDescent="0.35">
      <c r="G76" s="13" t="s">
        <v>178</v>
      </c>
    </row>
    <row r="77" spans="5:7" ht="15" hidden="1" customHeight="1" x14ac:dyDescent="0.35">
      <c r="G77" s="13" t="s">
        <v>179</v>
      </c>
    </row>
    <row r="78" spans="5:7" ht="15" hidden="1" customHeight="1" x14ac:dyDescent="0.35">
      <c r="G78" s="13" t="s">
        <v>180</v>
      </c>
    </row>
    <row r="79" spans="5:7" ht="15" hidden="1" customHeight="1" x14ac:dyDescent="0.35">
      <c r="G79" s="13" t="s">
        <v>181</v>
      </c>
    </row>
    <row r="80" spans="5:7" ht="15" hidden="1" customHeight="1" x14ac:dyDescent="0.35">
      <c r="G80" s="13" t="s">
        <v>182</v>
      </c>
    </row>
    <row r="81" spans="7:7" ht="15" hidden="1" customHeight="1" x14ac:dyDescent="0.35">
      <c r="G81" s="13" t="s">
        <v>183</v>
      </c>
    </row>
    <row r="82" spans="7:7" ht="15" hidden="1" customHeight="1" x14ac:dyDescent="0.35">
      <c r="G82" s="13" t="s">
        <v>184</v>
      </c>
    </row>
    <row r="83" spans="7:7" ht="15" hidden="1" customHeight="1" x14ac:dyDescent="0.35">
      <c r="G83" s="13" t="s">
        <v>96</v>
      </c>
    </row>
    <row r="84" spans="7:7" ht="15" hidden="1" customHeight="1" x14ac:dyDescent="0.35">
      <c r="G84" s="13" t="s">
        <v>185</v>
      </c>
    </row>
    <row r="85" spans="7:7" ht="15" hidden="1" customHeight="1" x14ac:dyDescent="0.35">
      <c r="G85" s="13" t="s">
        <v>186</v>
      </c>
    </row>
    <row r="86" spans="7:7" ht="15" hidden="1" customHeight="1" x14ac:dyDescent="0.35">
      <c r="G86" s="13" t="s">
        <v>187</v>
      </c>
    </row>
    <row r="87" spans="7:7" ht="15" hidden="1" customHeight="1" x14ac:dyDescent="0.35">
      <c r="G87" s="13" t="s">
        <v>62</v>
      </c>
    </row>
    <row r="88" spans="7:7" ht="15" hidden="1" customHeight="1" x14ac:dyDescent="0.35">
      <c r="G88" s="13" t="s">
        <v>188</v>
      </c>
    </row>
    <row r="89" spans="7:7" ht="15" hidden="1" customHeight="1" x14ac:dyDescent="0.35">
      <c r="G89" s="13" t="s">
        <v>189</v>
      </c>
    </row>
    <row r="90" spans="7:7" ht="15" hidden="1" customHeight="1" x14ac:dyDescent="0.35">
      <c r="G90" s="13" t="s">
        <v>190</v>
      </c>
    </row>
    <row r="91" spans="7:7" ht="15" hidden="1" customHeight="1" x14ac:dyDescent="0.35">
      <c r="G91" s="13" t="s">
        <v>191</v>
      </c>
    </row>
    <row r="92" spans="7:7" ht="15" hidden="1" customHeight="1" x14ac:dyDescent="0.35">
      <c r="G92" s="13" t="s">
        <v>192</v>
      </c>
    </row>
    <row r="93" spans="7:7" ht="15" hidden="1" customHeight="1" x14ac:dyDescent="0.35">
      <c r="G93" s="13" t="s">
        <v>193</v>
      </c>
    </row>
    <row r="94" spans="7:7" ht="15" hidden="1" customHeight="1" x14ac:dyDescent="0.35">
      <c r="G94" s="13" t="s">
        <v>194</v>
      </c>
    </row>
    <row r="95" spans="7:7" ht="15" hidden="1" customHeight="1" x14ac:dyDescent="0.35">
      <c r="G95" s="13" t="s">
        <v>195</v>
      </c>
    </row>
    <row r="96" spans="7:7" ht="15" hidden="1" customHeight="1" x14ac:dyDescent="0.35">
      <c r="G96" s="13" t="s">
        <v>196</v>
      </c>
    </row>
    <row r="97" spans="7:7" ht="15" hidden="1" customHeight="1" x14ac:dyDescent="0.35">
      <c r="G97" s="13" t="s">
        <v>197</v>
      </c>
    </row>
    <row r="98" spans="7:7" ht="15" hidden="1" customHeight="1" x14ac:dyDescent="0.35">
      <c r="G98" s="13" t="s">
        <v>198</v>
      </c>
    </row>
    <row r="99" spans="7:7" ht="15" hidden="1" customHeight="1" x14ac:dyDescent="0.35">
      <c r="G99" s="13" t="s">
        <v>199</v>
      </c>
    </row>
    <row r="100" spans="7:7" ht="15" hidden="1" customHeight="1" x14ac:dyDescent="0.35">
      <c r="G100" s="13" t="s">
        <v>200</v>
      </c>
    </row>
    <row r="101" spans="7:7" ht="15" hidden="1" customHeight="1" x14ac:dyDescent="0.35">
      <c r="G101" s="13" t="s">
        <v>14</v>
      </c>
    </row>
    <row r="102" spans="7:7" ht="15" hidden="1" customHeight="1" x14ac:dyDescent="0.35">
      <c r="G102" s="13" t="s">
        <v>201</v>
      </c>
    </row>
    <row r="103" spans="7:7" ht="15" hidden="1" customHeight="1" x14ac:dyDescent="0.35">
      <c r="G103" s="13" t="s">
        <v>84</v>
      </c>
    </row>
    <row r="104" spans="7:7" ht="15" hidden="1" customHeight="1" x14ac:dyDescent="0.35">
      <c r="G104" s="13" t="s">
        <v>202</v>
      </c>
    </row>
    <row r="105" spans="7:7" ht="15" hidden="1" customHeight="1" x14ac:dyDescent="0.35">
      <c r="G105" s="13" t="s">
        <v>203</v>
      </c>
    </row>
    <row r="106" spans="7:7" ht="15" hidden="1" customHeight="1" x14ac:dyDescent="0.35">
      <c r="G106" s="13" t="s">
        <v>204</v>
      </c>
    </row>
    <row r="107" spans="7:7" ht="15" hidden="1" customHeight="1" x14ac:dyDescent="0.35">
      <c r="G107" s="13" t="s">
        <v>205</v>
      </c>
    </row>
    <row r="108" spans="7:7" ht="15" hidden="1" customHeight="1" x14ac:dyDescent="0.35">
      <c r="G108" s="13" t="s">
        <v>206</v>
      </c>
    </row>
  </sheetData>
  <sheetProtection algorithmName="SHA-512" hashValue="3NNUW5/7AaKXR8mUA7EmQawvDhenqlLTinSutCayIRxNT0vudxigFDAY7MZe7dBCBr9vR9Ur03NsQN/eT4XEsQ==" saltValue="b9Ql/m3XZ40A039JJTgixA==" spinCount="100000" sheet="1" formatCells="0" formatColumns="0" formatRows="0" insertColumns="0" insertRows="0" insertHyperlinks="0" deleteColumns="0" deleteRows="0" sort="0" autoFilter="0" pivotTables="0"/>
  <protectedRanges>
    <protectedRange sqref="T14:AE14 AH14:AJ45 T44:AE44 T42:AE42 T40:AE40 T38:AE38 T36:AE36 T34:AE34 T32:AE32 T30:AE30 T28:AE28 T26:AE26 T24:AE24 T22:AE22 T20:AE20 T18:AE18 T16:AE16" name="Rango1"/>
  </protectedRanges>
  <autoFilter ref="A12:AL45" xr:uid="{3C5557F2-F233-4478-BDE4-99AD8A89A120}"/>
  <mergeCells count="380">
    <mergeCell ref="A1:C3"/>
    <mergeCell ref="D1:AJ3"/>
    <mergeCell ref="A4:A5"/>
    <mergeCell ref="G4:G5"/>
    <mergeCell ref="A6:B10"/>
    <mergeCell ref="C6:D10"/>
    <mergeCell ref="I6:J10"/>
    <mergeCell ref="K6:K10"/>
    <mergeCell ref="AB6:AE10"/>
    <mergeCell ref="AF6:AG10"/>
    <mergeCell ref="AH6:AH10"/>
    <mergeCell ref="AI6:AI10"/>
    <mergeCell ref="A11:F11"/>
    <mergeCell ref="G11:P11"/>
    <mergeCell ref="Q11:AF11"/>
    <mergeCell ref="AG11:AJ11"/>
    <mergeCell ref="L6:M10"/>
    <mergeCell ref="N6:N10"/>
    <mergeCell ref="O6:P10"/>
    <mergeCell ref="Q6:S10"/>
    <mergeCell ref="T6:W10"/>
    <mergeCell ref="X6:AA10"/>
    <mergeCell ref="AJ6:AJ10"/>
    <mergeCell ref="G6:H10"/>
    <mergeCell ref="E6:E10"/>
    <mergeCell ref="G12:G13"/>
    <mergeCell ref="H12:H13"/>
    <mergeCell ref="I12:I13"/>
    <mergeCell ref="J12:J13"/>
    <mergeCell ref="K12:K13"/>
    <mergeCell ref="L12:L13"/>
    <mergeCell ref="A12:A13"/>
    <mergeCell ref="B12:B13"/>
    <mergeCell ref="C12:C13"/>
    <mergeCell ref="D12:D13"/>
    <mergeCell ref="E12:E13"/>
    <mergeCell ref="F12:F13"/>
    <mergeCell ref="S12:S13"/>
    <mergeCell ref="T12:T13"/>
    <mergeCell ref="U12:U13"/>
    <mergeCell ref="V12:V13"/>
    <mergeCell ref="W12:W13"/>
    <mergeCell ref="X12:X13"/>
    <mergeCell ref="M12:M13"/>
    <mergeCell ref="N12:N13"/>
    <mergeCell ref="O12:O13"/>
    <mergeCell ref="P12:P13"/>
    <mergeCell ref="Q12:Q13"/>
    <mergeCell ref="R12:R13"/>
    <mergeCell ref="AE12:AE13"/>
    <mergeCell ref="AF12:AF13"/>
    <mergeCell ref="AG12:AG13"/>
    <mergeCell ref="AH12:AH13"/>
    <mergeCell ref="AI12:AI13"/>
    <mergeCell ref="AJ12:AJ13"/>
    <mergeCell ref="Y12:Y13"/>
    <mergeCell ref="Z12:Z13"/>
    <mergeCell ref="AA12:AA13"/>
    <mergeCell ref="AB12:AB13"/>
    <mergeCell ref="AC12:AC13"/>
    <mergeCell ref="AD12:AD13"/>
    <mergeCell ref="A16:A17"/>
    <mergeCell ref="B16:B17"/>
    <mergeCell ref="C16:C17"/>
    <mergeCell ref="D16:D17"/>
    <mergeCell ref="E16:E17"/>
    <mergeCell ref="F16:F17"/>
    <mergeCell ref="G16:G17"/>
    <mergeCell ref="H16:H17"/>
    <mergeCell ref="M14:M15"/>
    <mergeCell ref="G14:G15"/>
    <mergeCell ref="H14:H15"/>
    <mergeCell ref="I14:I15"/>
    <mergeCell ref="J14:J15"/>
    <mergeCell ref="K14:K15"/>
    <mergeCell ref="L14:L15"/>
    <mergeCell ref="A14:A15"/>
    <mergeCell ref="B14:B15"/>
    <mergeCell ref="C14:C15"/>
    <mergeCell ref="D14:D15"/>
    <mergeCell ref="E14:E15"/>
    <mergeCell ref="F14:F15"/>
    <mergeCell ref="AJ16:AJ17"/>
    <mergeCell ref="I16:I17"/>
    <mergeCell ref="J16:J17"/>
    <mergeCell ref="K16:K17"/>
    <mergeCell ref="L16:L17"/>
    <mergeCell ref="M16:M17"/>
    <mergeCell ref="N16:N17"/>
    <mergeCell ref="AI14:AI15"/>
    <mergeCell ref="AJ14:AJ15"/>
    <mergeCell ref="N14:N15"/>
    <mergeCell ref="O14:O15"/>
    <mergeCell ref="P14:P15"/>
    <mergeCell ref="AG14:AG15"/>
    <mergeCell ref="AH14:AH15"/>
    <mergeCell ref="C18:C19"/>
    <mergeCell ref="D18:D19"/>
    <mergeCell ref="E18:E19"/>
    <mergeCell ref="F18:F19"/>
    <mergeCell ref="O16:O17"/>
    <mergeCell ref="P16:P17"/>
    <mergeCell ref="AG16:AG17"/>
    <mergeCell ref="AH16:AH17"/>
    <mergeCell ref="AI16:AI17"/>
    <mergeCell ref="AI18:AI19"/>
    <mergeCell ref="AJ18:AJ19"/>
    <mergeCell ref="A20:A21"/>
    <mergeCell ref="B20:B21"/>
    <mergeCell ref="C20:C21"/>
    <mergeCell ref="D20:D21"/>
    <mergeCell ref="E20:E21"/>
    <mergeCell ref="G20:G21"/>
    <mergeCell ref="H20:H21"/>
    <mergeCell ref="I20:I21"/>
    <mergeCell ref="M18:M19"/>
    <mergeCell ref="N18:N19"/>
    <mergeCell ref="O18:O19"/>
    <mergeCell ref="P18:P19"/>
    <mergeCell ref="AG18:AG19"/>
    <mergeCell ref="AH18:AH19"/>
    <mergeCell ref="G18:G19"/>
    <mergeCell ref="H18:H19"/>
    <mergeCell ref="I18:I19"/>
    <mergeCell ref="J18:J19"/>
    <mergeCell ref="K18:K19"/>
    <mergeCell ref="L18:L19"/>
    <mergeCell ref="A18:A19"/>
    <mergeCell ref="B18:B19"/>
    <mergeCell ref="P20:P21"/>
    <mergeCell ref="AG20:AG21"/>
    <mergeCell ref="AH20:AH21"/>
    <mergeCell ref="AI20:AI21"/>
    <mergeCell ref="AJ20:AJ21"/>
    <mergeCell ref="A22:A23"/>
    <mergeCell ref="B22:B23"/>
    <mergeCell ref="C22:C23"/>
    <mergeCell ref="D22:D23"/>
    <mergeCell ref="E22:E23"/>
    <mergeCell ref="J20:J21"/>
    <mergeCell ref="K20:K21"/>
    <mergeCell ref="L20:L21"/>
    <mergeCell ref="M20:M21"/>
    <mergeCell ref="N20:N21"/>
    <mergeCell ref="O20:O21"/>
    <mergeCell ref="AH22:AH23"/>
    <mergeCell ref="AI22:AI23"/>
    <mergeCell ref="AJ22:AJ23"/>
    <mergeCell ref="N22:N23"/>
    <mergeCell ref="O22:O23"/>
    <mergeCell ref="P22:P23"/>
    <mergeCell ref="AG22:AG23"/>
    <mergeCell ref="A24:A25"/>
    <mergeCell ref="B24:B25"/>
    <mergeCell ref="C24:C25"/>
    <mergeCell ref="D24:D25"/>
    <mergeCell ref="E24:E25"/>
    <mergeCell ref="F24:F25"/>
    <mergeCell ref="G24:G25"/>
    <mergeCell ref="L22:L23"/>
    <mergeCell ref="M22:M23"/>
    <mergeCell ref="F22:F23"/>
    <mergeCell ref="G22:G23"/>
    <mergeCell ref="H22:H23"/>
    <mergeCell ref="I22:I23"/>
    <mergeCell ref="J22:J23"/>
    <mergeCell ref="K22:K23"/>
    <mergeCell ref="AJ24:AJ25"/>
    <mergeCell ref="A26:A27"/>
    <mergeCell ref="B26:B27"/>
    <mergeCell ref="C26:C27"/>
    <mergeCell ref="D26:D27"/>
    <mergeCell ref="E26:E27"/>
    <mergeCell ref="F26:F27"/>
    <mergeCell ref="G26:G27"/>
    <mergeCell ref="I26:I27"/>
    <mergeCell ref="J26:J27"/>
    <mergeCell ref="N24:N25"/>
    <mergeCell ref="O24:O25"/>
    <mergeCell ref="P24:P25"/>
    <mergeCell ref="AG24:AG25"/>
    <mergeCell ref="AH24:AH25"/>
    <mergeCell ref="AI24:AI25"/>
    <mergeCell ref="H24:H25"/>
    <mergeCell ref="I24:I25"/>
    <mergeCell ref="J24:J25"/>
    <mergeCell ref="K24:K25"/>
    <mergeCell ref="L24:L25"/>
    <mergeCell ref="M24:M25"/>
    <mergeCell ref="AG26:AG27"/>
    <mergeCell ref="AH26:AH27"/>
    <mergeCell ref="AI26:AI27"/>
    <mergeCell ref="AJ26:AJ27"/>
    <mergeCell ref="A28:A29"/>
    <mergeCell ref="B28:B29"/>
    <mergeCell ref="C28:C29"/>
    <mergeCell ref="D28:D29"/>
    <mergeCell ref="E28:E29"/>
    <mergeCell ref="F28:F29"/>
    <mergeCell ref="K26:K27"/>
    <mergeCell ref="L26:L27"/>
    <mergeCell ref="M26:M27"/>
    <mergeCell ref="N26:N27"/>
    <mergeCell ref="O26:O27"/>
    <mergeCell ref="P26:P27"/>
    <mergeCell ref="AJ28:AJ29"/>
    <mergeCell ref="N28:N29"/>
    <mergeCell ref="O28:O29"/>
    <mergeCell ref="P28:P29"/>
    <mergeCell ref="AG28:AG29"/>
    <mergeCell ref="AH28:AH29"/>
    <mergeCell ref="AI28:AI29"/>
    <mergeCell ref="G28:G29"/>
    <mergeCell ref="I28:I29"/>
    <mergeCell ref="J28:J29"/>
    <mergeCell ref="A30:A31"/>
    <mergeCell ref="B30:B31"/>
    <mergeCell ref="C30:C31"/>
    <mergeCell ref="D30:D31"/>
    <mergeCell ref="E30:E31"/>
    <mergeCell ref="F30:F31"/>
    <mergeCell ref="G30:G31"/>
    <mergeCell ref="H30:H31"/>
    <mergeCell ref="I30:I31"/>
    <mergeCell ref="K28:K29"/>
    <mergeCell ref="L28:L29"/>
    <mergeCell ref="M28:M29"/>
    <mergeCell ref="P30:P31"/>
    <mergeCell ref="AG30:AG31"/>
    <mergeCell ref="AH30:AH31"/>
    <mergeCell ref="AI30:AI31"/>
    <mergeCell ref="AJ30:AJ31"/>
    <mergeCell ref="A32:A33"/>
    <mergeCell ref="B32:B33"/>
    <mergeCell ref="C32:C33"/>
    <mergeCell ref="D32:D33"/>
    <mergeCell ref="E32:E33"/>
    <mergeCell ref="J30:J31"/>
    <mergeCell ref="K30:K31"/>
    <mergeCell ref="L30:L31"/>
    <mergeCell ref="M30:M31"/>
    <mergeCell ref="N30:N31"/>
    <mergeCell ref="O30:O31"/>
    <mergeCell ref="AH32:AH33"/>
    <mergeCell ref="AI32:AI33"/>
    <mergeCell ref="AJ32:AJ33"/>
    <mergeCell ref="N32:N33"/>
    <mergeCell ref="O32:O33"/>
    <mergeCell ref="P32:P33"/>
    <mergeCell ref="AG32:AG33"/>
    <mergeCell ref="F32:F33"/>
    <mergeCell ref="G32:G33"/>
    <mergeCell ref="H32:H33"/>
    <mergeCell ref="I32:I33"/>
    <mergeCell ref="J32:J33"/>
    <mergeCell ref="K32:K33"/>
    <mergeCell ref="N34:N35"/>
    <mergeCell ref="O34:O35"/>
    <mergeCell ref="P34:P35"/>
    <mergeCell ref="J34:J35"/>
    <mergeCell ref="K34:K35"/>
    <mergeCell ref="L34:L35"/>
    <mergeCell ref="M34:M35"/>
    <mergeCell ref="F34:F35"/>
    <mergeCell ref="G34:G35"/>
    <mergeCell ref="L32:L33"/>
    <mergeCell ref="M32:M33"/>
    <mergeCell ref="AG34:AG35"/>
    <mergeCell ref="A36:A37"/>
    <mergeCell ref="B36:B37"/>
    <mergeCell ref="C36:C37"/>
    <mergeCell ref="D36:D37"/>
    <mergeCell ref="E36:E37"/>
    <mergeCell ref="F36:F37"/>
    <mergeCell ref="G36:G37"/>
    <mergeCell ref="H34:H35"/>
    <mergeCell ref="I34:I35"/>
    <mergeCell ref="A34:A35"/>
    <mergeCell ref="B34:B35"/>
    <mergeCell ref="C34:C35"/>
    <mergeCell ref="D34:D35"/>
    <mergeCell ref="E34:E35"/>
    <mergeCell ref="AJ36:AJ37"/>
    <mergeCell ref="A38:A39"/>
    <mergeCell ref="B38:B39"/>
    <mergeCell ref="C38:C39"/>
    <mergeCell ref="D38:D39"/>
    <mergeCell ref="E38:E39"/>
    <mergeCell ref="F38:F39"/>
    <mergeCell ref="G38:G39"/>
    <mergeCell ref="H38:H39"/>
    <mergeCell ref="I38:I39"/>
    <mergeCell ref="N36:N37"/>
    <mergeCell ref="O36:O37"/>
    <mergeCell ref="P36:P37"/>
    <mergeCell ref="AG36:AG37"/>
    <mergeCell ref="AH36:AH37"/>
    <mergeCell ref="AI36:AI37"/>
    <mergeCell ref="H36:H37"/>
    <mergeCell ref="I36:I37"/>
    <mergeCell ref="J36:J37"/>
    <mergeCell ref="K36:K37"/>
    <mergeCell ref="L36:L37"/>
    <mergeCell ref="M36:M37"/>
    <mergeCell ref="P38:P39"/>
    <mergeCell ref="AG38:AG39"/>
    <mergeCell ref="AI38:AI39"/>
    <mergeCell ref="AJ38:AJ39"/>
    <mergeCell ref="A40:A41"/>
    <mergeCell ref="B40:B41"/>
    <mergeCell ref="C40:C41"/>
    <mergeCell ref="D40:D41"/>
    <mergeCell ref="E40:E41"/>
    <mergeCell ref="J38:J39"/>
    <mergeCell ref="K38:K39"/>
    <mergeCell ref="L38:L39"/>
    <mergeCell ref="M38:M39"/>
    <mergeCell ref="N38:N39"/>
    <mergeCell ref="O38:O39"/>
    <mergeCell ref="AH40:AH41"/>
    <mergeCell ref="AI40:AI41"/>
    <mergeCell ref="AJ40:AJ41"/>
    <mergeCell ref="N40:N41"/>
    <mergeCell ref="O40:O41"/>
    <mergeCell ref="P40:P41"/>
    <mergeCell ref="AG40:AG41"/>
    <mergeCell ref="L40:L41"/>
    <mergeCell ref="M40:M41"/>
    <mergeCell ref="F40:F41"/>
    <mergeCell ref="G40:G41"/>
    <mergeCell ref="H40:H41"/>
    <mergeCell ref="I40:I41"/>
    <mergeCell ref="J40:J41"/>
    <mergeCell ref="K40:K41"/>
    <mergeCell ref="AH38:AH39"/>
    <mergeCell ref="K42:K43"/>
    <mergeCell ref="L42:L43"/>
    <mergeCell ref="M42:M43"/>
    <mergeCell ref="P44:P45"/>
    <mergeCell ref="AG44:AG45"/>
    <mergeCell ref="J44:J45"/>
    <mergeCell ref="K44:K45"/>
    <mergeCell ref="L44:L45"/>
    <mergeCell ref="M44:M45"/>
    <mergeCell ref="AH44:AH45"/>
    <mergeCell ref="A42:A43"/>
    <mergeCell ref="B42:B43"/>
    <mergeCell ref="C42:C43"/>
    <mergeCell ref="D42:D43"/>
    <mergeCell ref="E42:E43"/>
    <mergeCell ref="G42:G43"/>
    <mergeCell ref="AJ42:AJ43"/>
    <mergeCell ref="A44:A45"/>
    <mergeCell ref="B44:B45"/>
    <mergeCell ref="C44:C45"/>
    <mergeCell ref="D44:D45"/>
    <mergeCell ref="E44:E45"/>
    <mergeCell ref="G44:G45"/>
    <mergeCell ref="H44:H45"/>
    <mergeCell ref="I44:I45"/>
    <mergeCell ref="N42:N43"/>
    <mergeCell ref="O42:O43"/>
    <mergeCell ref="P42:P43"/>
    <mergeCell ref="AG42:AG43"/>
    <mergeCell ref="AH42:AH43"/>
    <mergeCell ref="AI42:AI43"/>
    <mergeCell ref="H42:H43"/>
    <mergeCell ref="I42:I43"/>
    <mergeCell ref="J42:J43"/>
    <mergeCell ref="AI44:AI45"/>
    <mergeCell ref="AJ44:AJ45"/>
    <mergeCell ref="N44:N45"/>
    <mergeCell ref="O44:O45"/>
    <mergeCell ref="B47:B48"/>
    <mergeCell ref="C47:C48"/>
    <mergeCell ref="D47:D48"/>
    <mergeCell ref="E47:E48"/>
    <mergeCell ref="F47:F48"/>
    <mergeCell ref="G47:G48"/>
    <mergeCell ref="M47:M48"/>
  </mergeCells>
  <conditionalFormatting sqref="J4">
    <cfRule type="cellIs" dxfId="188" priority="25" operator="lessThanOrEqual">
      <formula>$C$4</formula>
    </cfRule>
  </conditionalFormatting>
  <conditionalFormatting sqref="K6 S14:S45">
    <cfRule type="cellIs" dxfId="187" priority="26" operator="greaterThanOrEqual">
      <formula>$C$5</formula>
    </cfRule>
    <cfRule type="cellIs" dxfId="186" priority="27" operator="lessThanOrEqual">
      <formula>$C$4</formula>
    </cfRule>
    <cfRule type="cellIs" dxfId="185" priority="28" operator="between">
      <formula>$C$5</formula>
      <formula>$C$4</formula>
    </cfRule>
  </conditionalFormatting>
  <conditionalFormatting sqref="Q6">
    <cfRule type="cellIs" dxfId="184" priority="22" operator="greaterThanOrEqual">
      <formula>$J$5</formula>
    </cfRule>
    <cfRule type="cellIs" dxfId="183" priority="23" operator="lessThanOrEqual">
      <formula>$J$4</formula>
    </cfRule>
    <cfRule type="cellIs" dxfId="182" priority="24" operator="between">
      <formula>$J$5</formula>
      <formula>$J$4</formula>
    </cfRule>
  </conditionalFormatting>
  <conditionalFormatting sqref="X6">
    <cfRule type="cellIs" dxfId="181" priority="19" operator="greaterThanOrEqual">
      <formula>$J$5</formula>
    </cfRule>
    <cfRule type="cellIs" dxfId="180" priority="20" operator="lessThanOrEqual">
      <formula>$J$4</formula>
    </cfRule>
    <cfRule type="cellIs" dxfId="179" priority="21" operator="between">
      <formula>$J$5</formula>
      <formula>$J$4</formula>
    </cfRule>
  </conditionalFormatting>
  <conditionalFormatting sqref="AF6">
    <cfRule type="cellIs" dxfId="178" priority="16" operator="greaterThanOrEqual">
      <formula>$J$5</formula>
    </cfRule>
    <cfRule type="cellIs" dxfId="177" priority="17" operator="lessThanOrEqual">
      <formula>$J$4</formula>
    </cfRule>
    <cfRule type="cellIs" dxfId="176" priority="18" operator="between">
      <formula>$J$5</formula>
      <formula>$J$4</formula>
    </cfRule>
  </conditionalFormatting>
  <conditionalFormatting sqref="AI6">
    <cfRule type="cellIs" dxfId="175" priority="13" operator="greaterThanOrEqual">
      <formula>$J$5</formula>
    </cfRule>
    <cfRule type="cellIs" dxfId="174" priority="14" operator="lessThanOrEqual">
      <formula>$J$4</formula>
    </cfRule>
    <cfRule type="cellIs" dxfId="173" priority="15" operator="between">
      <formula>$J$5</formula>
      <formula>$J$4</formula>
    </cfRule>
  </conditionalFormatting>
  <dataValidations count="17">
    <dataValidation allowBlank="1" showErrorMessage="1" sqref="S14:S45" xr:uid="{1CE4D151-4D60-4854-ADC6-ADAF78277416}"/>
    <dataValidation type="list" allowBlank="1" showInputMessage="1" showErrorMessage="1" sqref="E14:E35" xr:uid="{28150822-A412-4865-953A-7AACA774F5F8}">
      <formula1>$E$49:$E$67</formula1>
    </dataValidation>
    <dataValidation type="list" allowBlank="1" showInputMessage="1" showErrorMessage="1" sqref="D14:D35" xr:uid="{FA2CB507-DF11-46FE-B57B-73819B5BE6C2}">
      <formula1>$D$49:$D$55</formula1>
    </dataValidation>
    <dataValidation type="list" allowBlank="1" showInputMessage="1" showErrorMessage="1" sqref="C14:C35" xr:uid="{71820830-2037-4112-B8F5-087D5623B9C3}">
      <formula1>$C$49:$C$58</formula1>
    </dataValidation>
    <dataValidation type="list" allowBlank="1" showInputMessage="1" showErrorMessage="1" sqref="B14:B35" xr:uid="{AA32D355-A647-4375-865F-15862E719EF4}">
      <formula1>$B$49:$B$56</formula1>
    </dataValidation>
    <dataValidation type="list" allowBlank="1" showInputMessage="1" showErrorMessage="1" sqref="N18:N21 N26:N35 N14:N15" xr:uid="{AA0AAB1A-36F6-4F45-A675-6F95FB068F44}">
      <formula1>$N$46:$N$46</formula1>
    </dataValidation>
    <dataValidation type="list" allowBlank="1" showInputMessage="1" showErrorMessage="1" sqref="N16:N17 N22:N25" xr:uid="{F2BCF750-B54F-4091-8E87-909B241741E3}">
      <formula1>$M$49:$M$51</formula1>
    </dataValidation>
    <dataValidation type="list" allowBlank="1" showInputMessage="1" showErrorMessage="1" sqref="H26:H30 H14 H18 H20 H22 H24 H32 H34 G14:G35 H16" xr:uid="{8087E9EE-9680-414D-B042-B86786D29EC7}">
      <formula1>$G$49:$G$108</formula1>
    </dataValidation>
    <dataValidation type="decimal" allowBlank="1" showInputMessage="1" showErrorMessage="1" prompt="% de avance en la actividad - indique el % programado de avance durante esta semana_x000a_" sqref="T14:AA14 AC14:AD14 AF14:AF16 T15:AE15 W16:AB17 AC17:AF17 AD16 T16:V41 T43:AF45 W18:AF41" xr:uid="{1C399912-6E20-400C-9A32-8FA9D7ED8B70}">
      <formula1>0</formula1>
      <formula2>1</formula2>
    </dataValidation>
    <dataValidation type="decimal" allowBlank="1" showInputMessage="1" showErrorMessage="1" prompt="campo calculado  - indica el % de avance  que aporta la activadad a todo el proyecto" sqref="R43 R41 R29 R17 R15 R21 R19 R23 R25 R27 R35 R33 R31 R37 R39 R45" xr:uid="{D61E04D2-05EC-4E48-B111-D18B67CD9F1E}">
      <formula1>0</formula1>
      <formula2>1</formula2>
    </dataValidation>
    <dataValidation type="decimal" allowBlank="1" showInputMessage="1" showErrorMessage="1" prompt="valor porcentual de la activida - Indique el peso porcentual de la actividad dentro del proyecto" sqref="R14 R20 R18 R16 R22 R42 R26 R30 R24 R28 R32 R40 R36 R34 R38 R44" xr:uid="{4EA2768D-2949-4D0B-8133-5E4E3597DCDE}">
      <formula1>0</formula1>
      <formula2>1</formula2>
    </dataValidation>
    <dataValidation type="list" allowBlank="1" showInputMessage="1" showErrorMessage="1" sqref="B36:B45" xr:uid="{5E134177-D0D5-4DAC-B9E6-23922158DEA8}">
      <formula1>$B$46:$B$50</formula1>
    </dataValidation>
    <dataValidation type="list" allowBlank="1" showInputMessage="1" showErrorMessage="1" sqref="C36:C45" xr:uid="{78AD3B43-33C9-48EF-931C-B9C459E7AB26}">
      <formula1>$C$46:$C$52</formula1>
    </dataValidation>
    <dataValidation type="list" allowBlank="1" showInputMessage="1" showErrorMessage="1" sqref="D36:D45" xr:uid="{33F3C82A-6C93-4970-9186-3E924B1A6094}">
      <formula1>$D$46:$D$49</formula1>
    </dataValidation>
    <dataValidation type="list" allowBlank="1" showInputMessage="1" showErrorMessage="1" sqref="E36:E45" xr:uid="{E79BBB02-CB75-4B02-9D4D-AA54B5835ACF}">
      <formula1>$E$46:$E$61</formula1>
    </dataValidation>
    <dataValidation type="list" allowBlank="1" showInputMessage="1" showErrorMessage="1" sqref="G36:G42 H44 G44:G45 H40 H42 H38 H36" xr:uid="{5A191909-4994-4DE6-BCE0-E202075C1966}">
      <formula1>$G$46:$G$102</formula1>
    </dataValidation>
    <dataValidation type="list" allowBlank="1" showInputMessage="1" showErrorMessage="1" sqref="N36:N42 N44" xr:uid="{E807469F-F047-428F-BBB0-7A986EC8C337}">
      <formula1>#REF!</formula1>
    </dataValidation>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6A8A-A6B3-4BB0-97D3-78AF8A6AB6FD}">
  <dimension ref="A1:AI106"/>
  <sheetViews>
    <sheetView showGridLines="0" view="pageBreakPreview" topLeftCell="K2" zoomScale="60" zoomScaleNormal="10" zoomScalePageLayoutView="48" workbookViewId="0">
      <selection activeCell="AB15" sqref="AB15"/>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10" width="28.54296875" style="13" customWidth="1"/>
    <col min="11" max="12" width="19.54296875" style="13" customWidth="1"/>
    <col min="13" max="13" width="28.54296875" style="13" customWidth="1"/>
    <col min="14" max="15" width="18.453125" style="13" customWidth="1"/>
    <col min="16" max="16" width="15.81640625" style="13" customWidth="1"/>
    <col min="17" max="18" width="13.453125" style="13" customWidth="1"/>
    <col min="19" max="30" width="9.54296875" style="13" customWidth="1"/>
    <col min="31" max="31" width="9.54296875" style="13" hidden="1" customWidth="1"/>
    <col min="32" max="32" width="35.54296875" style="13" customWidth="1"/>
    <col min="33" max="35" width="42.54296875" style="13" customWidth="1"/>
    <col min="36" max="16384" width="12.54296875" style="13"/>
  </cols>
  <sheetData>
    <row r="1" spans="1:35" s="5" customFormat="1" ht="15" customHeight="1" x14ac:dyDescent="0.35">
      <c r="A1" s="337"/>
      <c r="B1" s="338"/>
      <c r="C1" s="339"/>
      <c r="D1" s="346" t="s">
        <v>279</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row>
    <row r="2" spans="1:35"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5"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row>
    <row r="4" spans="1:35"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row>
    <row r="5" spans="1:35"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row>
    <row r="6" spans="1:35" ht="20.149999999999999" customHeight="1" x14ac:dyDescent="0.35">
      <c r="A6" s="353" t="s">
        <v>13</v>
      </c>
      <c r="B6" s="353"/>
      <c r="C6" s="423" t="s">
        <v>100</v>
      </c>
      <c r="D6" s="423"/>
      <c r="E6" s="353" t="s">
        <v>15</v>
      </c>
      <c r="F6" s="353"/>
      <c r="G6" s="455">
        <f>+Q15+Q17+Q19+Q21+Q23+Q25</f>
        <v>0.99999999999999989</v>
      </c>
      <c r="H6" s="353" t="s">
        <v>209</v>
      </c>
      <c r="I6" s="353"/>
      <c r="J6" s="458">
        <f>(Q14+Q16+Q18+Q20+Q22+Q24)/M6</f>
        <v>0.24999999999999997</v>
      </c>
      <c r="K6" s="353" t="s">
        <v>17</v>
      </c>
      <c r="L6" s="353"/>
      <c r="M6" s="443">
        <v>1</v>
      </c>
      <c r="N6" s="353" t="s">
        <v>210</v>
      </c>
      <c r="O6" s="353"/>
      <c r="P6" s="304">
        <f>(SUM(S14:U14,S16:U16,S18:U18,S20:U20,S22:U22,S24:U24)/SUM(S15:U15,S17:U17,S19:U19,S21:U21,S23:U23,S25:U25))/M6</f>
        <v>1.0000000000000002</v>
      </c>
      <c r="Q6" s="325"/>
      <c r="R6" s="305"/>
      <c r="S6" s="446" t="s">
        <v>211</v>
      </c>
      <c r="T6" s="447"/>
      <c r="U6" s="447"/>
      <c r="V6" s="448"/>
      <c r="W6" s="304">
        <f>SUM(V14:X14,V16:X16,V18:X18,V20:X20,V22:X22,V24:X24)/SUM(V15:X15,V17:X17,V19:X19,V21:X21,V23:X23,V25:X25)/M6</f>
        <v>0</v>
      </c>
      <c r="X6" s="325"/>
      <c r="Y6" s="325"/>
      <c r="Z6" s="305"/>
      <c r="AA6" s="446" t="s">
        <v>212</v>
      </c>
      <c r="AB6" s="447"/>
      <c r="AC6" s="447"/>
      <c r="AD6" s="448"/>
      <c r="AE6" s="304">
        <f>SUM(Y14:AA14,Y16:AA16,Y18:AA18,Y20:AA20,Y22:AA22,Y24:AA24)/SUM(Y15:AA15,Y17:AA17,Y19:AA19,Y21:AA21,Y23:AA23,Y25:AA25)/M6</f>
        <v>0</v>
      </c>
      <c r="AF6" s="305"/>
      <c r="AG6" s="446" t="s">
        <v>213</v>
      </c>
      <c r="AH6" s="304">
        <f>SUM(AB14:AD14,AB16:AD16,AB18:AD18,AB20:AD20,AB22:AD22,AB24:AD24)/SUM(AB15:AD15,AB17:AD17,AB19:AD19,AB21:AD21,AB23:AD23,AB25:AD25)/M6</f>
        <v>0</v>
      </c>
      <c r="AI6" s="446"/>
    </row>
    <row r="7" spans="1:35" ht="15" customHeight="1" x14ac:dyDescent="0.35">
      <c r="A7" s="353"/>
      <c r="B7" s="353"/>
      <c r="C7" s="423"/>
      <c r="D7" s="423"/>
      <c r="E7" s="353"/>
      <c r="F7" s="353"/>
      <c r="G7" s="456"/>
      <c r="H7" s="353"/>
      <c r="I7" s="353"/>
      <c r="J7" s="459"/>
      <c r="K7" s="353"/>
      <c r="L7" s="353"/>
      <c r="M7" s="444"/>
      <c r="N7" s="353"/>
      <c r="O7" s="353"/>
      <c r="P7" s="306"/>
      <c r="Q7" s="326"/>
      <c r="R7" s="307"/>
      <c r="S7" s="449"/>
      <c r="T7" s="450"/>
      <c r="U7" s="450"/>
      <c r="V7" s="451"/>
      <c r="W7" s="306"/>
      <c r="X7" s="326"/>
      <c r="Y7" s="326"/>
      <c r="Z7" s="307"/>
      <c r="AA7" s="449"/>
      <c r="AB7" s="450"/>
      <c r="AC7" s="450"/>
      <c r="AD7" s="451"/>
      <c r="AE7" s="306"/>
      <c r="AF7" s="307"/>
      <c r="AG7" s="449"/>
      <c r="AH7" s="306"/>
      <c r="AI7" s="449"/>
    </row>
    <row r="8" spans="1:35" ht="25.4" customHeight="1" x14ac:dyDescent="0.35">
      <c r="A8" s="353"/>
      <c r="B8" s="353"/>
      <c r="C8" s="423"/>
      <c r="D8" s="423"/>
      <c r="E8" s="353"/>
      <c r="F8" s="353"/>
      <c r="G8" s="456"/>
      <c r="H8" s="353"/>
      <c r="I8" s="353"/>
      <c r="J8" s="459"/>
      <c r="K8" s="353"/>
      <c r="L8" s="353"/>
      <c r="M8" s="444"/>
      <c r="N8" s="353"/>
      <c r="O8" s="353"/>
      <c r="P8" s="306"/>
      <c r="Q8" s="326"/>
      <c r="R8" s="307"/>
      <c r="S8" s="449"/>
      <c r="T8" s="450"/>
      <c r="U8" s="450"/>
      <c r="V8" s="451"/>
      <c r="W8" s="306"/>
      <c r="X8" s="326"/>
      <c r="Y8" s="326"/>
      <c r="Z8" s="307"/>
      <c r="AA8" s="449"/>
      <c r="AB8" s="450"/>
      <c r="AC8" s="450"/>
      <c r="AD8" s="451"/>
      <c r="AE8" s="306"/>
      <c r="AF8" s="307"/>
      <c r="AG8" s="449"/>
      <c r="AH8" s="306"/>
      <c r="AI8" s="449"/>
    </row>
    <row r="9" spans="1:35" ht="25.4" customHeight="1" x14ac:dyDescent="0.35">
      <c r="A9" s="353"/>
      <c r="B9" s="353"/>
      <c r="C9" s="423"/>
      <c r="D9" s="423"/>
      <c r="E9" s="353"/>
      <c r="F9" s="353"/>
      <c r="G9" s="456"/>
      <c r="H9" s="353"/>
      <c r="I9" s="353"/>
      <c r="J9" s="459"/>
      <c r="K9" s="353"/>
      <c r="L9" s="353"/>
      <c r="M9" s="444"/>
      <c r="N9" s="353"/>
      <c r="O9" s="353"/>
      <c r="P9" s="306"/>
      <c r="Q9" s="326"/>
      <c r="R9" s="307"/>
      <c r="S9" s="449"/>
      <c r="T9" s="450"/>
      <c r="U9" s="450"/>
      <c r="V9" s="451"/>
      <c r="W9" s="306"/>
      <c r="X9" s="326"/>
      <c r="Y9" s="326"/>
      <c r="Z9" s="307"/>
      <c r="AA9" s="449"/>
      <c r="AB9" s="450"/>
      <c r="AC9" s="450"/>
      <c r="AD9" s="451"/>
      <c r="AE9" s="306"/>
      <c r="AF9" s="307"/>
      <c r="AG9" s="449"/>
      <c r="AH9" s="306"/>
      <c r="AI9" s="449"/>
    </row>
    <row r="10" spans="1:35" ht="15" customHeight="1" thickBot="1" x14ac:dyDescent="0.4">
      <c r="A10" s="353"/>
      <c r="B10" s="353"/>
      <c r="C10" s="423"/>
      <c r="D10" s="423"/>
      <c r="E10" s="353"/>
      <c r="F10" s="353"/>
      <c r="G10" s="457"/>
      <c r="H10" s="353"/>
      <c r="I10" s="353"/>
      <c r="J10" s="460"/>
      <c r="K10" s="353"/>
      <c r="L10" s="353"/>
      <c r="M10" s="445"/>
      <c r="N10" s="353"/>
      <c r="O10" s="353"/>
      <c r="P10" s="308"/>
      <c r="Q10" s="327"/>
      <c r="R10" s="309"/>
      <c r="S10" s="452"/>
      <c r="T10" s="453"/>
      <c r="U10" s="453"/>
      <c r="V10" s="454"/>
      <c r="W10" s="308"/>
      <c r="X10" s="327"/>
      <c r="Y10" s="327"/>
      <c r="Z10" s="309"/>
      <c r="AA10" s="452"/>
      <c r="AB10" s="453"/>
      <c r="AC10" s="453"/>
      <c r="AD10" s="454"/>
      <c r="AE10" s="308"/>
      <c r="AF10" s="309"/>
      <c r="AG10" s="452"/>
      <c r="AH10" s="308"/>
      <c r="AI10" s="452"/>
    </row>
    <row r="11" spans="1:35" s="14" customFormat="1" ht="40.4" customHeight="1" thickBot="1" x14ac:dyDescent="0.4">
      <c r="A11" s="313" t="s">
        <v>21</v>
      </c>
      <c r="B11" s="313"/>
      <c r="C11" s="313"/>
      <c r="D11" s="313"/>
      <c r="E11" s="313"/>
      <c r="F11" s="314"/>
      <c r="G11" s="437" t="s">
        <v>280</v>
      </c>
      <c r="H11" s="438"/>
      <c r="I11" s="438"/>
      <c r="J11" s="438"/>
      <c r="K11" s="438"/>
      <c r="L11" s="438"/>
      <c r="M11" s="438"/>
      <c r="N11" s="438"/>
      <c r="O11" s="439"/>
      <c r="P11" s="440" t="s">
        <v>23</v>
      </c>
      <c r="Q11" s="441"/>
      <c r="R11" s="441"/>
      <c r="S11" s="441"/>
      <c r="T11" s="441"/>
      <c r="U11" s="441"/>
      <c r="V11" s="441"/>
      <c r="W11" s="441"/>
      <c r="X11" s="441"/>
      <c r="Y11" s="441"/>
      <c r="Z11" s="441"/>
      <c r="AA11" s="441"/>
      <c r="AB11" s="441"/>
      <c r="AC11" s="441"/>
      <c r="AD11" s="441"/>
      <c r="AE11" s="442"/>
      <c r="AF11" s="320" t="s">
        <v>24</v>
      </c>
      <c r="AG11" s="321"/>
      <c r="AH11" s="321"/>
      <c r="AI11" s="321"/>
    </row>
    <row r="12" spans="1:35" ht="39" customHeight="1" x14ac:dyDescent="0.35">
      <c r="A12" s="286" t="s">
        <v>25</v>
      </c>
      <c r="B12" s="294" t="s">
        <v>26</v>
      </c>
      <c r="C12" s="294" t="s">
        <v>27</v>
      </c>
      <c r="D12" s="294" t="s">
        <v>28</v>
      </c>
      <c r="E12" s="294" t="s">
        <v>29</v>
      </c>
      <c r="F12" s="294" t="s">
        <v>30</v>
      </c>
      <c r="G12" s="294" t="s">
        <v>31</v>
      </c>
      <c r="H12" s="286" t="s">
        <v>281</v>
      </c>
      <c r="I12" s="286" t="s">
        <v>282</v>
      </c>
      <c r="J12" s="286" t="s">
        <v>33</v>
      </c>
      <c r="K12" s="286" t="s">
        <v>34</v>
      </c>
      <c r="L12" s="286" t="s">
        <v>35</v>
      </c>
      <c r="M12" s="286" t="s">
        <v>36</v>
      </c>
      <c r="N12" s="294" t="s">
        <v>37</v>
      </c>
      <c r="O12" s="310" t="s">
        <v>38</v>
      </c>
      <c r="P12" s="311" t="s">
        <v>39</v>
      </c>
      <c r="Q12" s="312" t="s">
        <v>40</v>
      </c>
      <c r="R12" s="291" t="s">
        <v>41</v>
      </c>
      <c r="S12" s="291" t="s">
        <v>42</v>
      </c>
      <c r="T12" s="291" t="s">
        <v>43</v>
      </c>
      <c r="U12" s="291" t="s">
        <v>44</v>
      </c>
      <c r="V12" s="291" t="s">
        <v>45</v>
      </c>
      <c r="W12" s="291" t="s">
        <v>46</v>
      </c>
      <c r="X12" s="291" t="s">
        <v>47</v>
      </c>
      <c r="Y12" s="291" t="s">
        <v>48</v>
      </c>
      <c r="Z12" s="291" t="s">
        <v>49</v>
      </c>
      <c r="AA12" s="291" t="s">
        <v>50</v>
      </c>
      <c r="AB12" s="291" t="s">
        <v>51</v>
      </c>
      <c r="AC12" s="291" t="s">
        <v>52</v>
      </c>
      <c r="AD12" s="392" t="s">
        <v>53</v>
      </c>
      <c r="AE12" s="392" t="s">
        <v>54</v>
      </c>
      <c r="AF12" s="435" t="s">
        <v>216</v>
      </c>
      <c r="AG12" s="394" t="s">
        <v>217</v>
      </c>
      <c r="AH12" s="394" t="s">
        <v>218</v>
      </c>
      <c r="AI12" s="396" t="s">
        <v>219</v>
      </c>
    </row>
    <row r="13" spans="1:35" ht="60" customHeight="1" x14ac:dyDescent="0.35">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392"/>
      <c r="AE13" s="392"/>
      <c r="AF13" s="436"/>
      <c r="AG13" s="395"/>
      <c r="AH13" s="395"/>
      <c r="AI13" s="397"/>
    </row>
    <row r="14" spans="1:35" ht="85.5" customHeight="1" thickBot="1" x14ac:dyDescent="0.4">
      <c r="A14" s="262">
        <v>1</v>
      </c>
      <c r="B14" s="262" t="s">
        <v>94</v>
      </c>
      <c r="C14" s="262" t="s">
        <v>98</v>
      </c>
      <c r="D14" s="262" t="s">
        <v>71</v>
      </c>
      <c r="E14" s="262" t="s">
        <v>99</v>
      </c>
      <c r="F14" s="280"/>
      <c r="G14" s="262" t="s">
        <v>100</v>
      </c>
      <c r="H14" s="262" t="s">
        <v>283</v>
      </c>
      <c r="I14" s="262" t="s">
        <v>284</v>
      </c>
      <c r="J14" s="262" t="s">
        <v>285</v>
      </c>
      <c r="K14" s="275" t="s">
        <v>286</v>
      </c>
      <c r="L14" s="275" t="s">
        <v>287</v>
      </c>
      <c r="M14" s="275" t="s">
        <v>288</v>
      </c>
      <c r="N14" s="365">
        <v>45292</v>
      </c>
      <c r="O14" s="365">
        <v>45657</v>
      </c>
      <c r="P14" s="15" t="s">
        <v>68</v>
      </c>
      <c r="Q14" s="16">
        <f>+(Q15*R14)</f>
        <v>4.1666666666666664E-2</v>
      </c>
      <c r="R14" s="227">
        <f t="shared" ref="R14:R25" si="0">SUM(S14:AE14)</f>
        <v>0.25</v>
      </c>
      <c r="S14" s="228">
        <v>0.1</v>
      </c>
      <c r="T14" s="228">
        <v>0.1</v>
      </c>
      <c r="U14" s="228">
        <v>0.05</v>
      </c>
      <c r="V14" s="228"/>
      <c r="W14" s="228"/>
      <c r="X14" s="228"/>
      <c r="Y14" s="228"/>
      <c r="Z14" s="228"/>
      <c r="AA14" s="229"/>
      <c r="AB14" s="229"/>
      <c r="AC14" s="229"/>
      <c r="AD14" s="229"/>
      <c r="AE14" s="229"/>
      <c r="AF14" s="363" t="s">
        <v>289</v>
      </c>
      <c r="AG14" s="428"/>
      <c r="AH14" s="428"/>
      <c r="AI14" s="430"/>
    </row>
    <row r="15" spans="1:35" ht="85.5" customHeight="1" thickBot="1" x14ac:dyDescent="0.4">
      <c r="A15" s="263"/>
      <c r="B15" s="263"/>
      <c r="C15" s="263"/>
      <c r="D15" s="263"/>
      <c r="E15" s="263"/>
      <c r="F15" s="290"/>
      <c r="G15" s="263"/>
      <c r="H15" s="263"/>
      <c r="I15" s="263"/>
      <c r="J15" s="263"/>
      <c r="K15" s="277"/>
      <c r="L15" s="277"/>
      <c r="M15" s="277"/>
      <c r="N15" s="365"/>
      <c r="O15" s="365"/>
      <c r="P15" s="15" t="s">
        <v>69</v>
      </c>
      <c r="Q15" s="21">
        <f>100%/6</f>
        <v>0.16666666666666666</v>
      </c>
      <c r="R15" s="17">
        <f t="shared" si="0"/>
        <v>1</v>
      </c>
      <c r="S15" s="22"/>
      <c r="T15" s="22"/>
      <c r="U15" s="22">
        <v>0.25</v>
      </c>
      <c r="V15" s="22"/>
      <c r="W15" s="22"/>
      <c r="X15" s="22">
        <v>0.25</v>
      </c>
      <c r="Y15" s="22"/>
      <c r="Z15" s="22"/>
      <c r="AA15" s="22">
        <v>0.25</v>
      </c>
      <c r="AB15" s="22"/>
      <c r="AC15" s="22"/>
      <c r="AD15" s="22">
        <v>0.25</v>
      </c>
      <c r="AE15" s="22"/>
      <c r="AF15" s="364"/>
      <c r="AG15" s="429"/>
      <c r="AH15" s="429"/>
      <c r="AI15" s="431"/>
    </row>
    <row r="16" spans="1:35" ht="85.5" customHeight="1" thickBot="1" x14ac:dyDescent="0.4">
      <c r="A16" s="262">
        <v>2</v>
      </c>
      <c r="B16" s="262" t="s">
        <v>94</v>
      </c>
      <c r="C16" s="262" t="s">
        <v>98</v>
      </c>
      <c r="D16" s="262" t="s">
        <v>71</v>
      </c>
      <c r="E16" s="262" t="s">
        <v>99</v>
      </c>
      <c r="F16" s="280"/>
      <c r="G16" s="262" t="s">
        <v>100</v>
      </c>
      <c r="H16" s="262" t="s">
        <v>290</v>
      </c>
      <c r="I16" s="262" t="s">
        <v>291</v>
      </c>
      <c r="J16" s="262" t="s">
        <v>285</v>
      </c>
      <c r="K16" s="275" t="s">
        <v>286</v>
      </c>
      <c r="L16" s="275" t="s">
        <v>287</v>
      </c>
      <c r="M16" s="275" t="s">
        <v>288</v>
      </c>
      <c r="N16" s="365">
        <v>45292</v>
      </c>
      <c r="O16" s="365">
        <v>45657</v>
      </c>
      <c r="P16" s="15" t="s">
        <v>68</v>
      </c>
      <c r="Q16" s="16">
        <f>+(Q17*R16)</f>
        <v>4.1666666666666664E-2</v>
      </c>
      <c r="R16" s="17">
        <f t="shared" si="0"/>
        <v>0.25</v>
      </c>
      <c r="S16" s="18">
        <v>0.05</v>
      </c>
      <c r="T16" s="18">
        <v>0.1</v>
      </c>
      <c r="U16" s="18">
        <v>0.1</v>
      </c>
      <c r="V16" s="18"/>
      <c r="W16" s="18"/>
      <c r="X16" s="18"/>
      <c r="Y16" s="18"/>
      <c r="Z16" s="18"/>
      <c r="AA16" s="19"/>
      <c r="AB16" s="19"/>
      <c r="AC16" s="19"/>
      <c r="AD16" s="19"/>
      <c r="AE16" s="19"/>
      <c r="AF16" s="363" t="s">
        <v>292</v>
      </c>
      <c r="AG16" s="428"/>
      <c r="AH16" s="433"/>
      <c r="AI16" s="430"/>
    </row>
    <row r="17" spans="1:35" ht="85.5" customHeight="1" thickBot="1" x14ac:dyDescent="0.4">
      <c r="A17" s="263"/>
      <c r="B17" s="263"/>
      <c r="C17" s="263"/>
      <c r="D17" s="263"/>
      <c r="E17" s="263"/>
      <c r="F17" s="281"/>
      <c r="G17" s="263"/>
      <c r="H17" s="263"/>
      <c r="I17" s="263"/>
      <c r="J17" s="263"/>
      <c r="K17" s="277"/>
      <c r="L17" s="277"/>
      <c r="M17" s="277"/>
      <c r="N17" s="365"/>
      <c r="O17" s="365"/>
      <c r="P17" s="15" t="s">
        <v>69</v>
      </c>
      <c r="Q17" s="21">
        <f>100%/6</f>
        <v>0.16666666666666666</v>
      </c>
      <c r="R17" s="17">
        <f t="shared" si="0"/>
        <v>1</v>
      </c>
      <c r="S17" s="22"/>
      <c r="T17" s="22"/>
      <c r="U17" s="22">
        <v>0.25</v>
      </c>
      <c r="V17" s="22"/>
      <c r="W17" s="22"/>
      <c r="X17" s="22">
        <v>0.25</v>
      </c>
      <c r="Y17" s="22"/>
      <c r="Z17" s="22"/>
      <c r="AA17" s="22">
        <v>0.25</v>
      </c>
      <c r="AB17" s="22"/>
      <c r="AC17" s="22"/>
      <c r="AD17" s="22">
        <v>0.25</v>
      </c>
      <c r="AE17" s="22"/>
      <c r="AF17" s="362"/>
      <c r="AG17" s="429"/>
      <c r="AH17" s="434"/>
      <c r="AI17" s="431"/>
    </row>
    <row r="18" spans="1:35" ht="104.25" customHeight="1" thickBot="1" x14ac:dyDescent="0.4">
      <c r="A18" s="262">
        <v>3</v>
      </c>
      <c r="B18" s="262" t="s">
        <v>94</v>
      </c>
      <c r="C18" s="262" t="s">
        <v>98</v>
      </c>
      <c r="D18" s="262" t="s">
        <v>71</v>
      </c>
      <c r="E18" s="262" t="s">
        <v>99</v>
      </c>
      <c r="F18" s="280"/>
      <c r="G18" s="262" t="s">
        <v>100</v>
      </c>
      <c r="H18" s="262" t="s">
        <v>293</v>
      </c>
      <c r="I18" s="262" t="s">
        <v>294</v>
      </c>
      <c r="J18" s="262" t="s">
        <v>285</v>
      </c>
      <c r="K18" s="275" t="s">
        <v>286</v>
      </c>
      <c r="L18" s="275" t="s">
        <v>287</v>
      </c>
      <c r="M18" s="275" t="s">
        <v>288</v>
      </c>
      <c r="N18" s="365">
        <v>45292</v>
      </c>
      <c r="O18" s="365">
        <v>45657</v>
      </c>
      <c r="P18" s="15" t="s">
        <v>68</v>
      </c>
      <c r="Q18" s="16">
        <f>+(Q19*R18)</f>
        <v>4.1666666666666664E-2</v>
      </c>
      <c r="R18" s="17">
        <f t="shared" si="0"/>
        <v>0.25</v>
      </c>
      <c r="S18" s="18">
        <v>0.05</v>
      </c>
      <c r="T18" s="18">
        <v>0.1</v>
      </c>
      <c r="U18" s="18">
        <v>0.1</v>
      </c>
      <c r="V18" s="18"/>
      <c r="W18" s="18"/>
      <c r="X18" s="18"/>
      <c r="Y18" s="18"/>
      <c r="Z18" s="18"/>
      <c r="AA18" s="19"/>
      <c r="AB18" s="19"/>
      <c r="AC18" s="19"/>
      <c r="AD18" s="19"/>
      <c r="AE18" s="19"/>
      <c r="AF18" s="363" t="s">
        <v>295</v>
      </c>
      <c r="AG18" s="428"/>
      <c r="AH18" s="428"/>
      <c r="AI18" s="430"/>
    </row>
    <row r="19" spans="1:35" ht="104.25" customHeight="1" thickBot="1" x14ac:dyDescent="0.4">
      <c r="A19" s="263"/>
      <c r="B19" s="263"/>
      <c r="C19" s="263"/>
      <c r="D19" s="263"/>
      <c r="E19" s="263"/>
      <c r="F19" s="281"/>
      <c r="G19" s="263"/>
      <c r="H19" s="263"/>
      <c r="I19" s="263"/>
      <c r="J19" s="263"/>
      <c r="K19" s="277"/>
      <c r="L19" s="277"/>
      <c r="M19" s="277"/>
      <c r="N19" s="365"/>
      <c r="O19" s="365"/>
      <c r="P19" s="15" t="s">
        <v>69</v>
      </c>
      <c r="Q19" s="21">
        <f>100%/6</f>
        <v>0.16666666666666666</v>
      </c>
      <c r="R19" s="17">
        <f t="shared" si="0"/>
        <v>1</v>
      </c>
      <c r="S19" s="22"/>
      <c r="T19" s="22"/>
      <c r="U19" s="22">
        <v>0.25</v>
      </c>
      <c r="V19" s="22"/>
      <c r="W19" s="22"/>
      <c r="X19" s="22">
        <v>0.25</v>
      </c>
      <c r="Y19" s="22"/>
      <c r="Z19" s="22"/>
      <c r="AA19" s="22">
        <v>0.25</v>
      </c>
      <c r="AB19" s="22"/>
      <c r="AC19" s="22"/>
      <c r="AD19" s="22">
        <v>0.25</v>
      </c>
      <c r="AE19" s="22"/>
      <c r="AF19" s="364"/>
      <c r="AG19" s="429"/>
      <c r="AH19" s="429"/>
      <c r="AI19" s="431"/>
    </row>
    <row r="20" spans="1:35" ht="88.5" customHeight="1" thickBot="1" x14ac:dyDescent="0.4">
      <c r="A20" s="262">
        <v>4</v>
      </c>
      <c r="B20" s="262" t="s">
        <v>94</v>
      </c>
      <c r="C20" s="262" t="s">
        <v>98</v>
      </c>
      <c r="D20" s="262" t="s">
        <v>71</v>
      </c>
      <c r="E20" s="262" t="s">
        <v>99</v>
      </c>
      <c r="F20" s="280"/>
      <c r="G20" s="262" t="s">
        <v>100</v>
      </c>
      <c r="H20" s="262" t="s">
        <v>296</v>
      </c>
      <c r="I20" s="262" t="s">
        <v>297</v>
      </c>
      <c r="J20" s="262" t="s">
        <v>285</v>
      </c>
      <c r="K20" s="275" t="s">
        <v>286</v>
      </c>
      <c r="L20" s="275" t="s">
        <v>287</v>
      </c>
      <c r="M20" s="275" t="s">
        <v>288</v>
      </c>
      <c r="N20" s="365">
        <v>45292</v>
      </c>
      <c r="O20" s="365">
        <v>45657</v>
      </c>
      <c r="P20" s="15" t="s">
        <v>68</v>
      </c>
      <c r="Q20" s="16">
        <f>+(Q21*R20)</f>
        <v>4.1666666666666664E-2</v>
      </c>
      <c r="R20" s="17">
        <f t="shared" si="0"/>
        <v>0.25</v>
      </c>
      <c r="S20" s="18">
        <v>0.1</v>
      </c>
      <c r="T20" s="18">
        <v>0.05</v>
      </c>
      <c r="U20" s="18">
        <v>0.1</v>
      </c>
      <c r="V20" s="18"/>
      <c r="W20" s="18"/>
      <c r="X20" s="18"/>
      <c r="Y20" s="18"/>
      <c r="Z20" s="18"/>
      <c r="AA20" s="19"/>
      <c r="AB20" s="19"/>
      <c r="AC20" s="19"/>
      <c r="AD20" s="19"/>
      <c r="AE20" s="19"/>
      <c r="AF20" s="363" t="s">
        <v>298</v>
      </c>
      <c r="AG20" s="428"/>
      <c r="AH20" s="428"/>
      <c r="AI20" s="430"/>
    </row>
    <row r="21" spans="1:35" ht="88.5" customHeight="1" thickBot="1" x14ac:dyDescent="0.4">
      <c r="A21" s="263"/>
      <c r="B21" s="263"/>
      <c r="C21" s="263"/>
      <c r="D21" s="263"/>
      <c r="E21" s="263"/>
      <c r="F21" s="281"/>
      <c r="G21" s="263"/>
      <c r="H21" s="263"/>
      <c r="I21" s="263"/>
      <c r="J21" s="263"/>
      <c r="K21" s="277"/>
      <c r="L21" s="277"/>
      <c r="M21" s="277"/>
      <c r="N21" s="365"/>
      <c r="O21" s="365"/>
      <c r="P21" s="15" t="s">
        <v>69</v>
      </c>
      <c r="Q21" s="21">
        <f>100%/6</f>
        <v>0.16666666666666666</v>
      </c>
      <c r="R21" s="17">
        <f t="shared" si="0"/>
        <v>1</v>
      </c>
      <c r="S21" s="78"/>
      <c r="T21" s="78"/>
      <c r="U21" s="22">
        <v>0.25</v>
      </c>
      <c r="V21" s="22"/>
      <c r="W21" s="22"/>
      <c r="X21" s="22">
        <v>0.25</v>
      </c>
      <c r="Y21" s="22"/>
      <c r="Z21" s="22"/>
      <c r="AA21" s="22">
        <v>0.25</v>
      </c>
      <c r="AB21" s="22"/>
      <c r="AC21" s="22"/>
      <c r="AD21" s="22">
        <v>0.25</v>
      </c>
      <c r="AE21" s="22"/>
      <c r="AF21" s="364"/>
      <c r="AG21" s="429"/>
      <c r="AH21" s="429"/>
      <c r="AI21" s="431"/>
    </row>
    <row r="22" spans="1:35" ht="37.4" customHeight="1" thickBot="1" x14ac:dyDescent="0.4">
      <c r="A22" s="262">
        <v>5</v>
      </c>
      <c r="B22" s="262" t="s">
        <v>94</v>
      </c>
      <c r="C22" s="262" t="s">
        <v>98</v>
      </c>
      <c r="D22" s="262" t="s">
        <v>71</v>
      </c>
      <c r="E22" s="262" t="s">
        <v>99</v>
      </c>
      <c r="F22" s="280"/>
      <c r="G22" s="262" t="s">
        <v>100</v>
      </c>
      <c r="H22" s="262" t="s">
        <v>299</v>
      </c>
      <c r="I22" s="262" t="s">
        <v>300</v>
      </c>
      <c r="J22" s="262" t="s">
        <v>285</v>
      </c>
      <c r="K22" s="275" t="s">
        <v>286</v>
      </c>
      <c r="L22" s="275" t="s">
        <v>287</v>
      </c>
      <c r="M22" s="275" t="s">
        <v>288</v>
      </c>
      <c r="N22" s="365">
        <v>45292</v>
      </c>
      <c r="O22" s="365">
        <v>45657</v>
      </c>
      <c r="P22" s="15" t="s">
        <v>68</v>
      </c>
      <c r="Q22" s="16">
        <f>+(Q23*R22)</f>
        <v>4.1666666666666664E-2</v>
      </c>
      <c r="R22" s="17">
        <f t="shared" si="0"/>
        <v>0.25</v>
      </c>
      <c r="S22" s="78">
        <v>0.1</v>
      </c>
      <c r="T22" s="78">
        <v>0.05</v>
      </c>
      <c r="U22" s="78">
        <v>0.1</v>
      </c>
      <c r="V22" s="18"/>
      <c r="W22" s="18"/>
      <c r="X22" s="18"/>
      <c r="Y22" s="18"/>
      <c r="Z22" s="18"/>
      <c r="AA22" s="19"/>
      <c r="AB22" s="19"/>
      <c r="AC22" s="19"/>
      <c r="AD22" s="19"/>
      <c r="AE22" s="19"/>
      <c r="AF22" s="363" t="s">
        <v>301</v>
      </c>
      <c r="AG22" s="428"/>
      <c r="AH22" s="428"/>
      <c r="AI22" s="430"/>
    </row>
    <row r="23" spans="1:35" ht="99.65" customHeight="1" thickBot="1" x14ac:dyDescent="0.4">
      <c r="A23" s="263"/>
      <c r="B23" s="263"/>
      <c r="C23" s="263"/>
      <c r="D23" s="263"/>
      <c r="E23" s="263"/>
      <c r="F23" s="281"/>
      <c r="G23" s="263"/>
      <c r="H23" s="263"/>
      <c r="I23" s="263"/>
      <c r="J23" s="263"/>
      <c r="K23" s="277"/>
      <c r="L23" s="277"/>
      <c r="M23" s="277"/>
      <c r="N23" s="365"/>
      <c r="O23" s="365"/>
      <c r="P23" s="15" t="s">
        <v>69</v>
      </c>
      <c r="Q23" s="21">
        <f>100%/6</f>
        <v>0.16666666666666666</v>
      </c>
      <c r="R23" s="17">
        <f t="shared" si="0"/>
        <v>1</v>
      </c>
      <c r="S23" s="22"/>
      <c r="T23" s="22"/>
      <c r="U23" s="22">
        <v>0.25</v>
      </c>
      <c r="V23" s="22"/>
      <c r="W23" s="22"/>
      <c r="X23" s="22">
        <v>0.25</v>
      </c>
      <c r="Y23" s="22"/>
      <c r="Z23" s="22"/>
      <c r="AA23" s="22">
        <v>0.25</v>
      </c>
      <c r="AB23" s="22"/>
      <c r="AC23" s="22"/>
      <c r="AD23" s="22">
        <v>0.25</v>
      </c>
      <c r="AE23" s="22"/>
      <c r="AF23" s="364"/>
      <c r="AG23" s="429"/>
      <c r="AH23" s="429"/>
      <c r="AI23" s="431"/>
    </row>
    <row r="24" spans="1:35" ht="50.25" customHeight="1" thickBot="1" x14ac:dyDescent="0.4">
      <c r="A24" s="262">
        <v>6</v>
      </c>
      <c r="B24" s="262" t="s">
        <v>94</v>
      </c>
      <c r="C24" s="262" t="s">
        <v>98</v>
      </c>
      <c r="D24" s="262" t="s">
        <v>71</v>
      </c>
      <c r="E24" s="262" t="s">
        <v>99</v>
      </c>
      <c r="F24" s="280"/>
      <c r="G24" s="262" t="s">
        <v>100</v>
      </c>
      <c r="H24" s="262" t="s">
        <v>302</v>
      </c>
      <c r="I24" s="262" t="s">
        <v>303</v>
      </c>
      <c r="J24" s="262" t="s">
        <v>285</v>
      </c>
      <c r="K24" s="275" t="s">
        <v>286</v>
      </c>
      <c r="L24" s="275" t="s">
        <v>287</v>
      </c>
      <c r="M24" s="275" t="s">
        <v>288</v>
      </c>
      <c r="N24" s="365">
        <v>45292</v>
      </c>
      <c r="O24" s="365">
        <v>45657</v>
      </c>
      <c r="P24" s="15" t="s">
        <v>68</v>
      </c>
      <c r="Q24" s="16">
        <f>+(Q25*R24)</f>
        <v>4.1666666666666664E-2</v>
      </c>
      <c r="R24" s="17">
        <f t="shared" si="0"/>
        <v>0.25</v>
      </c>
      <c r="S24" s="78">
        <v>0.1</v>
      </c>
      <c r="T24" s="78">
        <v>0.05</v>
      </c>
      <c r="U24" s="78">
        <v>0.1</v>
      </c>
      <c r="V24" s="18"/>
      <c r="W24" s="18"/>
      <c r="X24" s="18"/>
      <c r="Y24" s="18"/>
      <c r="Z24" s="18"/>
      <c r="AA24" s="19"/>
      <c r="AB24" s="19"/>
      <c r="AC24" s="19"/>
      <c r="AD24" s="19"/>
      <c r="AE24" s="19"/>
      <c r="AF24" s="363" t="s">
        <v>304</v>
      </c>
      <c r="AG24" s="428"/>
      <c r="AH24" s="428"/>
      <c r="AI24" s="430"/>
    </row>
    <row r="25" spans="1:35" ht="65.5" customHeight="1" x14ac:dyDescent="0.35">
      <c r="A25" s="263"/>
      <c r="B25" s="263"/>
      <c r="C25" s="263"/>
      <c r="D25" s="263"/>
      <c r="E25" s="263"/>
      <c r="F25" s="281"/>
      <c r="G25" s="263"/>
      <c r="H25" s="263"/>
      <c r="I25" s="263"/>
      <c r="J25" s="263"/>
      <c r="K25" s="277"/>
      <c r="L25" s="277"/>
      <c r="M25" s="277"/>
      <c r="N25" s="365"/>
      <c r="O25" s="365"/>
      <c r="P25" s="15" t="s">
        <v>69</v>
      </c>
      <c r="Q25" s="21">
        <f>100%/6</f>
        <v>0.16666666666666666</v>
      </c>
      <c r="R25" s="17">
        <f t="shared" si="0"/>
        <v>1</v>
      </c>
      <c r="S25" s="22"/>
      <c r="T25" s="22"/>
      <c r="U25" s="22">
        <v>0.25</v>
      </c>
      <c r="V25" s="22"/>
      <c r="W25" s="22"/>
      <c r="X25" s="22">
        <v>0.25</v>
      </c>
      <c r="Y25" s="22"/>
      <c r="Z25" s="22"/>
      <c r="AA25" s="22">
        <v>0.25</v>
      </c>
      <c r="AB25" s="22"/>
      <c r="AC25" s="22"/>
      <c r="AD25" s="22">
        <v>0.25</v>
      </c>
      <c r="AE25" s="22"/>
      <c r="AF25" s="364"/>
      <c r="AG25" s="429"/>
      <c r="AH25" s="429"/>
      <c r="AI25" s="431"/>
    </row>
    <row r="27" spans="1:35" ht="30" hidden="1" customHeight="1" x14ac:dyDescent="0.35">
      <c r="D27" s="264" t="s">
        <v>17</v>
      </c>
      <c r="E27" s="264"/>
      <c r="F27" s="30">
        <v>1</v>
      </c>
      <c r="H27" s="432" t="s">
        <v>305</v>
      </c>
      <c r="I27" s="31" t="s">
        <v>107</v>
      </c>
      <c r="J27" s="32" t="e">
        <f>SUM(O27:AD27)</f>
        <v>#REF!</v>
      </c>
      <c r="K27" s="33"/>
      <c r="L27" s="33"/>
      <c r="M27" s="33"/>
      <c r="N27" s="33"/>
      <c r="O27" s="33" t="e">
        <f>+(W14*$Q$15)+(W16*$Q$17)+(W18*$Q$19)+(W20*$Q$21)+(W22*$Q$23)+(W25*$Q$25)+(#REF!*#REF!)+(#REF!*#REF!)+(#REF!*#REF!)+(#REF!*#REF!)+(#REF!*#REF!)+(#REF!*#REF!)+(#REF!*#REF!)</f>
        <v>#REF!</v>
      </c>
      <c r="P27" s="33" t="e">
        <f>+(AD14*$Q$15)+(AD16*$Q$17)+(AD18*$Q$19)+(AD20*$Q$21)+(AD22*$Q$23)+(AD25*$Q$25)+(#REF!*#REF!)+(#REF!*#REF!)+(#REF!*#REF!)+(#REF!*#REF!)+(#REF!*#REF!)+(#REF!*#REF!)+(#REF!*#REF!)</f>
        <v>#REF!</v>
      </c>
      <c r="Q27" s="34" t="e">
        <f>+(#REF!*$Q$15)+(#REF!*$Q$17)+(#REF!*$Q$19)+(#REF!*$Q$21)+(#REF!*$Q$23)+(#REF!*$Q$25)+(#REF!*#REF!)+(#REF!*#REF!)+(#REF!*#REF!)+(#REF!*#REF!)+(#REF!*#REF!)+(#REF!*#REF!)+(#REF!*#REF!)</f>
        <v>#REF!</v>
      </c>
      <c r="R27" s="33" t="e">
        <f>+(#REF!*$Q$15)+(#REF!*$Q$17)+(#REF!*$Q$19)+(#REF!*$Q$21)+(#REF!*$Q$23)+(#REF!*$Q$25)+(#REF!*#REF!)+(#REF!*#REF!)+(#REF!*#REF!)+(#REF!*#REF!)+(#REF!*#REF!)+(#REF!*#REF!)+(#REF!*#REF!)</f>
        <v>#REF!</v>
      </c>
      <c r="S27" s="33" t="e">
        <f>+(#REF!*$Q$15)+(#REF!*$Q$17)+(#REF!*$Q$19)+(#REF!*$Q$21)+(#REF!*$Q$23)+(#REF!*$Q$25)+(#REF!*#REF!)+(#REF!*#REF!)+(#REF!*#REF!)+(#REF!*#REF!)+(#REF!*#REF!)+(#REF!*#REF!)+(#REF!*#REF!)</f>
        <v>#REF!</v>
      </c>
      <c r="T27" s="33" t="e">
        <f>+(#REF!*$Q$15)+(#REF!*$Q$17)+(#REF!*$Q$19)+(#REF!*$Q$21)+(#REF!*$Q$23)+(#REF!*$Q$25)+(#REF!*#REF!)+(#REF!*#REF!)+(#REF!*#REF!)+(#REF!*#REF!)+(#REF!*#REF!)+(#REF!*#REF!)+(#REF!*#REF!)</f>
        <v>#REF!</v>
      </c>
      <c r="U27" s="33" t="e">
        <f>+(#REF!*$Q$15)+(#REF!*$Q$17)+(#REF!*$Q$19)+(#REF!*$Q$21)+(#REF!*$Q$23)+(#REF!*$Q$25)+(#REF!*#REF!)+(#REF!*#REF!)+(#REF!*#REF!)+(#REF!*#REF!)+(#REF!*#REF!)+(#REF!*#REF!)+(#REF!*#REF!)</f>
        <v>#REF!</v>
      </c>
      <c r="V27" s="33" t="e">
        <f>+(#REF!*$Q$15)+(#REF!*$Q$17)+(#REF!*$Q$19)+(#REF!*$Q$21)+(#REF!*$Q$23)+(#REF!*$Q$25)+(#REF!*#REF!)+(#REF!*#REF!)+(#REF!*#REF!)+(#REF!*#REF!)+(#REF!*#REF!)+(#REF!*#REF!)+(#REF!*#REF!)</f>
        <v>#REF!</v>
      </c>
      <c r="W27" s="33" t="e">
        <f>+(#REF!*$Q$15)+(#REF!*$Q$17)+(#REF!*$Q$19)+(#REF!*$Q$21)+(#REF!*$Q$23)+(#REF!*$Q$25)+(#REF!*#REF!)+(#REF!*#REF!)+(#REF!*#REF!)+(#REF!*#REF!)+(#REF!*#REF!)+(#REF!*#REF!)+(#REF!*#REF!)</f>
        <v>#REF!</v>
      </c>
      <c r="X27" s="33" t="e">
        <f>+(#REF!*$Q$15)+(#REF!*$Q$17)+(#REF!*$Q$19)+(#REF!*$Q$21)+(#REF!*$Q$23)+(#REF!*$Q$25)+(#REF!*#REF!)+(#REF!*#REF!)+(#REF!*#REF!)+(#REF!*#REF!)+(#REF!*#REF!)+(#REF!*#REF!)+(#REF!*#REF!)</f>
        <v>#REF!</v>
      </c>
      <c r="Y27" s="33" t="e">
        <f>+(#REF!*$Q$15)+(#REF!*$Q$17)+(#REF!*$Q$19)+(#REF!*$Q$21)+(#REF!*$Q$23)+(#REF!*$Q$25)+(#REF!*#REF!)+(#REF!*#REF!)+(#REF!*#REF!)+(#REF!*#REF!)+(#REF!*#REF!)+(#REF!*#REF!)+(#REF!*#REF!)</f>
        <v>#REF!</v>
      </c>
      <c r="Z27" s="33" t="e">
        <f>+(#REF!*$Q$15)+(#REF!*$Q$17)+(#REF!*$Q$19)+(#REF!*$Q$21)+(#REF!*$Q$23)+(#REF!*$Q$25)+(#REF!*#REF!)+(#REF!*#REF!)+(#REF!*#REF!)+(#REF!*#REF!)+(#REF!*#REF!)+(#REF!*#REF!)+(#REF!*#REF!)</f>
        <v>#REF!</v>
      </c>
      <c r="AA27" s="33" t="e">
        <f>+(#REF!*$Q$15)+(#REF!*$Q$17)+(#REF!*$Q$19)+(#REF!*$Q$21)+(#REF!*$Q$23)+(#REF!*$Q$25)+(#REF!*#REF!)+(#REF!*#REF!)+(#REF!*#REF!)+(#REF!*#REF!)+(#REF!*#REF!)+(#REF!*#REF!)+(#REF!*#REF!)</f>
        <v>#REF!</v>
      </c>
      <c r="AB27" s="33" t="e">
        <f>+(#REF!*$Q$15)+(#REF!*$Q$17)+(#REF!*$Q$19)+(#REF!*$Q$21)+(#REF!*$Q$23)+(#REF!*$Q$25)+(#REF!*#REF!)+(#REF!*#REF!)+(#REF!*#REF!)+(#REF!*#REF!)+(#REF!*#REF!)+(#REF!*#REF!)+(#REF!*#REF!)</f>
        <v>#REF!</v>
      </c>
      <c r="AC27" s="34" t="e">
        <f>+(#REF!*$Q$15)+(#REF!*$Q$17)+(#REF!*$Q$19)+(#REF!*$Q$21)+(#REF!*$Q$23)+(#REF!*$Q$25)+(#REF!*#REF!)+(#REF!*#REF!)+(#REF!*#REF!)+(#REF!*#REF!)+(#REF!*#REF!)+(#REF!*#REF!)+(#REF!*#REF!)</f>
        <v>#REF!</v>
      </c>
      <c r="AD27" s="33" t="e">
        <f>+(#REF!*$Q$15)+(#REF!*$Q$17)+(#REF!*$Q$19)+(#REF!*$Q$21)+(#REF!*$Q$23)+(#REF!*$Q$25)+(#REF!*#REF!)+(#REF!*#REF!)+(#REF!*#REF!)+(#REF!*#REF!)+(#REF!*#REF!)+(#REF!*#REF!)+(#REF!*#REF!)</f>
        <v>#REF!</v>
      </c>
      <c r="AE27" s="35"/>
    </row>
    <row r="28" spans="1:35" ht="30" hidden="1" customHeight="1" x14ac:dyDescent="0.35">
      <c r="D28" s="264"/>
      <c r="E28" s="264"/>
      <c r="F28" s="30"/>
      <c r="H28" s="426"/>
      <c r="I28" s="36" t="s">
        <v>108</v>
      </c>
      <c r="J28" s="37"/>
      <c r="K28" s="38"/>
      <c r="L28" s="38"/>
      <c r="M28" s="38"/>
      <c r="N28" s="38"/>
      <c r="O28" s="38"/>
      <c r="P28" s="38" t="e">
        <f>SUM(P27:P27)</f>
        <v>#REF!</v>
      </c>
      <c r="Q28" s="39"/>
      <c r="R28" s="38"/>
      <c r="S28" s="38"/>
      <c r="T28" s="40" t="e">
        <f>SUM(Q27:T27)</f>
        <v>#REF!</v>
      </c>
      <c r="U28" s="40"/>
      <c r="V28" s="40"/>
      <c r="W28" s="40"/>
      <c r="X28" s="40" t="e">
        <f>SUM(U27:X27)</f>
        <v>#REF!</v>
      </c>
      <c r="Y28" s="40"/>
      <c r="Z28" s="40"/>
      <c r="AA28" s="40"/>
      <c r="AB28" s="40" t="e">
        <f>SUM(Y27:AB27)</f>
        <v>#REF!</v>
      </c>
      <c r="AC28" s="41"/>
      <c r="AD28" s="40"/>
      <c r="AE28" s="42"/>
    </row>
    <row r="29" spans="1:35" ht="30" hidden="1" customHeight="1" x14ac:dyDescent="0.35">
      <c r="H29" s="426"/>
      <c r="I29" s="36" t="s">
        <v>109</v>
      </c>
      <c r="J29" s="43"/>
      <c r="K29" s="38"/>
      <c r="L29" s="38"/>
      <c r="M29" s="38"/>
      <c r="N29" s="38"/>
      <c r="O29" s="38"/>
      <c r="P29" s="38" t="e">
        <f>+#REF!+P28</f>
        <v>#REF!</v>
      </c>
      <c r="Q29" s="39"/>
      <c r="R29" s="38"/>
      <c r="S29" s="38"/>
      <c r="T29" s="44"/>
      <c r="U29" s="40"/>
      <c r="V29" s="40"/>
      <c r="W29" s="40"/>
      <c r="X29" s="40"/>
      <c r="Y29" s="40"/>
      <c r="Z29" s="40"/>
      <c r="AA29" s="40"/>
      <c r="AB29" s="40" t="e">
        <f>+T28+X28+AB28</f>
        <v>#REF!</v>
      </c>
      <c r="AC29" s="41"/>
      <c r="AD29" s="40"/>
      <c r="AE29" s="42"/>
    </row>
    <row r="30" spans="1:35" ht="30" hidden="1" customHeight="1" x14ac:dyDescent="0.35">
      <c r="H30" s="427"/>
      <c r="I30" s="45" t="s">
        <v>110</v>
      </c>
      <c r="J30" s="46"/>
      <c r="K30" s="47"/>
      <c r="L30" s="47"/>
      <c r="M30" s="47"/>
      <c r="N30" s="47"/>
      <c r="O30" s="47"/>
      <c r="P30" s="47"/>
      <c r="Q30" s="48"/>
      <c r="R30" s="47"/>
      <c r="S30" s="47"/>
      <c r="T30" s="49"/>
      <c r="U30" s="50"/>
      <c r="V30" s="50"/>
      <c r="W30" s="50"/>
      <c r="X30" s="50"/>
      <c r="Y30" s="50"/>
      <c r="Z30" s="50"/>
      <c r="AA30" s="50"/>
      <c r="AB30" s="50" t="e">
        <f>+P29+AB29</f>
        <v>#REF!</v>
      </c>
      <c r="AC30" s="51"/>
      <c r="AD30" s="50"/>
      <c r="AE30" s="42"/>
    </row>
    <row r="31" spans="1:35" ht="30" hidden="1" customHeight="1" x14ac:dyDescent="0.35">
      <c r="H31" s="425" t="s">
        <v>306</v>
      </c>
      <c r="I31" s="36" t="s">
        <v>111</v>
      </c>
      <c r="J31" s="52" t="e">
        <f>SUM(O31:AD31)</f>
        <v>#REF!</v>
      </c>
      <c r="K31" s="38"/>
      <c r="L31" s="38"/>
      <c r="M31" s="38"/>
      <c r="N31" s="38"/>
      <c r="O31" s="38" t="e">
        <f>+(W15*$Q$15)+(W17*$Q$17)+(W19*$Q$19)+(W21*$Q$21)+(#REF!*$Q$23)+(#REF!*$Q$25)+(#REF!*#REF!)+(#REF!*#REF!)+(#REF!*#REF!)+(#REF!*#REF!)+(#REF!*#REF!)+(#REF!*#REF!)+(#REF!*#REF!)</f>
        <v>#REF!</v>
      </c>
      <c r="P31" s="38" t="e">
        <f>+(AD15*$Q$15)+(AD17*$Q$17)+(AD19*$Q$19)+(AD21*$Q$21)+(#REF!*$Q$23)+(#REF!*$Q$25)+(#REF!*#REF!)+(#REF!*#REF!)+(#REF!*#REF!)+(#REF!*#REF!)+(#REF!*#REF!)+(#REF!*#REF!)+(#REF!*#REF!)</f>
        <v>#REF!</v>
      </c>
      <c r="Q31" s="39" t="e">
        <f>+(#REF!*$Q$15)+(#REF!*$Q$17)+(#REF!*$Q$19)+(#REF!*$Q$21)+(#REF!*$Q$23)+(#REF!*$Q$25)+(#REF!*#REF!)+(#REF!*#REF!)+(#REF!*#REF!)+(#REF!*#REF!)+(#REF!*#REF!)+(#REF!*#REF!)+(#REF!*#REF!)</f>
        <v>#REF!</v>
      </c>
      <c r="R31" s="38" t="e">
        <f>+(#REF!*$Q$15)+(#REF!*$Q$17)+(#REF!*$Q$19)+(#REF!*$Q$21)+(#REF!*$Q$23)+(#REF!*$Q$25)+(#REF!*#REF!)+(#REF!*#REF!)+(#REF!*#REF!)+(#REF!*#REF!)+(#REF!*#REF!)+(#REF!*#REF!)+(#REF!*#REF!)</f>
        <v>#REF!</v>
      </c>
      <c r="S31" s="38" t="e">
        <f>+(#REF!*$Q$15)+(#REF!*$Q$17)+(#REF!*$Q$19)+(#REF!*$Q$21)+(#REF!*$Q$23)+(#REF!*$Q$25)+(#REF!*#REF!)+(#REF!*#REF!)+(#REF!*#REF!)+(#REF!*#REF!)+(#REF!*#REF!)+(#REF!*#REF!)+(#REF!*#REF!)</f>
        <v>#REF!</v>
      </c>
      <c r="T31" s="38" t="e">
        <f>+(#REF!*$Q$15)+(#REF!*$Q$17)+(#REF!*$Q$19)+(#REF!*$Q$21)+(#REF!*$Q$23)+(#REF!*$Q$25)+(#REF!*#REF!)+(#REF!*#REF!)+(#REF!*#REF!)+(#REF!*#REF!)+(#REF!*#REF!)+(#REF!*#REF!)+(#REF!*#REF!)</f>
        <v>#REF!</v>
      </c>
      <c r="U31" s="38" t="e">
        <f>+(#REF!*$Q$15)+(#REF!*$Q$17)+(#REF!*$Q$19)+(#REF!*$Q$21)+(#REF!*$Q$23)+(#REF!*$Q$25)+(#REF!*#REF!)+(#REF!*#REF!)+(#REF!*#REF!)+(#REF!*#REF!)+(#REF!*#REF!)+(#REF!*#REF!)+(#REF!*#REF!)</f>
        <v>#REF!</v>
      </c>
      <c r="V31" s="38" t="e">
        <f>+(#REF!*$Q$15)+(#REF!*$Q$17)+(#REF!*$Q$19)+(#REF!*$Q$21)+(#REF!*$Q$23)+(#REF!*$Q$25)+(#REF!*#REF!)+(#REF!*#REF!)+(#REF!*#REF!)+(#REF!*#REF!)+(#REF!*#REF!)+(#REF!*#REF!)+(#REF!*#REF!)</f>
        <v>#REF!</v>
      </c>
      <c r="W31" s="38" t="e">
        <f>+(#REF!*$Q$15)+(#REF!*$Q$17)+(#REF!*$Q$19)+(#REF!*$Q$21)+(#REF!*$Q$23)+(#REF!*$Q$25)+(#REF!*#REF!)+(#REF!*#REF!)+(#REF!*#REF!)+(#REF!*#REF!)+(#REF!*#REF!)+(#REF!*#REF!)+(#REF!*#REF!)</f>
        <v>#REF!</v>
      </c>
      <c r="X31" s="38" t="e">
        <f>+(#REF!*$Q$15)+(#REF!*$Q$17)+(#REF!*$Q$19)+(#REF!*$Q$21)+(#REF!*$Q$23)+(#REF!*$Q$25)+(#REF!*#REF!)+(#REF!*#REF!)+(#REF!*#REF!)+(#REF!*#REF!)+(#REF!*#REF!)+(#REF!*#REF!)+(#REF!*#REF!)</f>
        <v>#REF!</v>
      </c>
      <c r="Y31" s="38" t="e">
        <f>+(#REF!*$Q$15)+(#REF!*$Q$17)+(#REF!*$Q$19)+(#REF!*$Q$21)+(#REF!*$Q$23)+(#REF!*$Q$25)+(#REF!*#REF!)+(#REF!*#REF!)+(#REF!*#REF!)+(#REF!*#REF!)+(#REF!*#REF!)+(#REF!*#REF!)+(#REF!*#REF!)</f>
        <v>#REF!</v>
      </c>
      <c r="Z31" s="38" t="e">
        <f>+(#REF!*$Q$15)+(#REF!*$Q$17)+(#REF!*$Q$19)+(#REF!*$Q$21)+(#REF!*$Q$23)+(#REF!*$Q$25)+(#REF!*#REF!)+(#REF!*#REF!)+(#REF!*#REF!)+(#REF!*#REF!)+(#REF!*#REF!)+(#REF!*#REF!)+(#REF!*#REF!)</f>
        <v>#REF!</v>
      </c>
      <c r="AA31" s="38" t="e">
        <f>+(#REF!*$Q$15)+(#REF!*$Q$17)+(#REF!*$Q$19)+(#REF!*$Q$21)+(#REF!*$Q$23)+(#REF!*$Q$25)+(#REF!*#REF!)+(#REF!*#REF!)+(#REF!*#REF!)+(#REF!*#REF!)+(#REF!*#REF!)+(#REF!*#REF!)+(#REF!*#REF!)</f>
        <v>#REF!</v>
      </c>
      <c r="AB31" s="38" t="e">
        <f>+(#REF!*$Q$15)+(#REF!*$Q$17)+(#REF!*$Q$19)+(#REF!*$Q$21)+(#REF!*$Q$23)+(#REF!*$Q$25)+(#REF!*#REF!)+(#REF!*#REF!)+(#REF!*#REF!)+(#REF!*#REF!)+(#REF!*#REF!)+(#REF!*#REF!)+(#REF!*#REF!)</f>
        <v>#REF!</v>
      </c>
      <c r="AC31" s="39" t="e">
        <f>+(#REF!*$Q$15)+(#REF!*$Q$17)+(#REF!*$Q$19)+(#REF!*$Q$21)+(#REF!*$Q$23)+(#REF!*$Q$25)+(#REF!*#REF!)+(#REF!*#REF!)+(#REF!*#REF!)+(#REF!*#REF!)+(#REF!*#REF!)+(#REF!*#REF!)+(#REF!*#REF!)</f>
        <v>#REF!</v>
      </c>
      <c r="AD31" s="38" t="e">
        <f>+(#REF!*$Q$15)+(#REF!*$Q$17)+(#REF!*$Q$19)+(#REF!*$Q$21)+(#REF!*$Q$23)+(#REF!*$Q$25)+(#REF!*#REF!)+(#REF!*#REF!)+(#REF!*#REF!)+(#REF!*#REF!)+(#REF!*#REF!)+(#REF!*#REF!)+(#REF!*#REF!)</f>
        <v>#REF!</v>
      </c>
      <c r="AE31" s="35"/>
    </row>
    <row r="32" spans="1:35" ht="30" hidden="1" customHeight="1" x14ac:dyDescent="0.35">
      <c r="H32" s="426"/>
      <c r="I32" s="36" t="s">
        <v>112</v>
      </c>
      <c r="J32" s="53"/>
      <c r="K32" s="38"/>
      <c r="L32" s="38"/>
      <c r="M32" s="38"/>
      <c r="N32" s="38"/>
      <c r="O32" s="38"/>
      <c r="P32" s="38" t="e">
        <f>SUM(P31:P31)</f>
        <v>#REF!</v>
      </c>
      <c r="Q32" s="39"/>
      <c r="R32" s="38"/>
      <c r="S32" s="38"/>
      <c r="T32" s="38" t="e">
        <f>SUM(Q31:T31)</f>
        <v>#REF!</v>
      </c>
      <c r="U32" s="38"/>
      <c r="V32" s="38"/>
      <c r="W32" s="38"/>
      <c r="X32" s="38" t="e">
        <f>SUM(U31:X31)</f>
        <v>#REF!</v>
      </c>
      <c r="Y32" s="38"/>
      <c r="Z32" s="38"/>
      <c r="AA32" s="38"/>
      <c r="AB32" s="38" t="e">
        <f>SUM(Y31:AB31)</f>
        <v>#REF!</v>
      </c>
      <c r="AC32" s="39"/>
      <c r="AD32" s="38"/>
      <c r="AE32" s="35"/>
    </row>
    <row r="33" spans="2:31" ht="30" hidden="1" customHeight="1" x14ac:dyDescent="0.35">
      <c r="H33" s="426"/>
      <c r="I33" s="36" t="s">
        <v>113</v>
      </c>
      <c r="J33" s="43"/>
      <c r="K33" s="38"/>
      <c r="L33" s="38"/>
      <c r="M33" s="38"/>
      <c r="N33" s="38"/>
      <c r="O33" s="38"/>
      <c r="P33" s="38" t="e">
        <f>+#REF!+P32</f>
        <v>#REF!</v>
      </c>
      <c r="Q33" s="39"/>
      <c r="R33" s="38"/>
      <c r="S33" s="38"/>
      <c r="T33" s="44"/>
      <c r="U33" s="40"/>
      <c r="V33" s="40"/>
      <c r="W33" s="40"/>
      <c r="X33" s="40"/>
      <c r="Y33" s="40"/>
      <c r="Z33" s="40"/>
      <c r="AA33" s="40"/>
      <c r="AB33" s="40" t="e">
        <f>+T32+X32+AB32</f>
        <v>#REF!</v>
      </c>
      <c r="AC33" s="41"/>
      <c r="AD33" s="40"/>
      <c r="AE33" s="42"/>
    </row>
    <row r="34" spans="2:31" ht="30" hidden="1" customHeight="1" x14ac:dyDescent="0.35">
      <c r="H34" s="427"/>
      <c r="I34" s="54" t="s">
        <v>114</v>
      </c>
      <c r="J34" s="46"/>
      <c r="K34" s="47"/>
      <c r="L34" s="47"/>
      <c r="M34" s="47"/>
      <c r="N34" s="47"/>
      <c r="O34" s="47"/>
      <c r="P34" s="47"/>
      <c r="Q34" s="48"/>
      <c r="R34" s="47"/>
      <c r="S34" s="47"/>
      <c r="T34" s="49"/>
      <c r="U34" s="50"/>
      <c r="V34" s="50"/>
      <c r="W34" s="50"/>
      <c r="X34" s="50"/>
      <c r="Y34" s="50"/>
      <c r="Z34" s="50"/>
      <c r="AA34" s="50"/>
      <c r="AB34" s="50" t="e">
        <f>+P33+AB33</f>
        <v>#REF!</v>
      </c>
      <c r="AC34" s="51"/>
      <c r="AD34" s="55"/>
      <c r="AE34" s="42"/>
    </row>
    <row r="35" spans="2:31" ht="30" hidden="1" customHeight="1" x14ac:dyDescent="0.35">
      <c r="H35" s="79"/>
      <c r="I35" s="265" t="s">
        <v>115</v>
      </c>
      <c r="J35" s="265"/>
      <c r="K35" s="56"/>
      <c r="L35" s="56"/>
      <c r="M35" s="56"/>
      <c r="N35" s="56"/>
      <c r="O35" s="56" t="e">
        <f>+O27/O31</f>
        <v>#REF!</v>
      </c>
      <c r="P35" s="57" t="e">
        <f>+(O27+#REF!+#REF!+#REF!+#REF!+#REF!+#REF!+P27)/(O31+#REF!+#REF!+#REF!+#REF!+#REF!+#REF!+P31)</f>
        <v>#REF!</v>
      </c>
      <c r="Q35" s="58" t="e">
        <f>+(O27+#REF!+#REF!+#REF!+#REF!+#REF!+#REF!+P27+Q27)/(O31+#REF!+#REF!+#REF!+#REF!+#REF!+#REF!+P31+Q31)</f>
        <v>#REF!</v>
      </c>
      <c r="R35" s="56" t="e">
        <f>+(O27+#REF!+#REF!+#REF!+#REF!+#REF!+#REF!+P27+Q27+R27)/(O31+#REF!+#REF!+#REF!+#REF!+#REF!+#REF!+P31+Q31+R31)</f>
        <v>#REF!</v>
      </c>
      <c r="S35" s="56" t="e">
        <f>+(O27+#REF!+#REF!+#REF!+#REF!+#REF!+#REF!+P27+Q27+R27+S27)/(O31+#REF!+#REF!+#REF!+#REF!+#REF!+#REF!+P31+Q31+R31+S31)</f>
        <v>#REF!</v>
      </c>
      <c r="T35" s="57" t="e">
        <f>+(O27+#REF!+#REF!+#REF!+#REF!+#REF!+#REF!+P27+Q27+R27+S27+T27)/(O31+#REF!+#REF!+#REF!+#REF!+#REF!+#REF!+P31+Q31+R31+S31+T31)</f>
        <v>#REF!</v>
      </c>
      <c r="U35" s="56" t="e">
        <f>+(O27+#REF!+#REF!+#REF!+#REF!+#REF!+#REF!+P27+Q27+R27+S27+T27+U27)/(O31+#REF!+#REF!+#REF!+#REF!+#REF!+#REF!+P31+Q31+R31+S31+T31+U31)</f>
        <v>#REF!</v>
      </c>
      <c r="V35" s="56" t="e">
        <f>+(O27+#REF!+#REF!+#REF!+#REF!+#REF!+#REF!+P27+Q27+R27+S27+T27+U27+V27)/(O31+#REF!+#REF!+#REF!+#REF!+#REF!+#REF!+P31+Q31+R31+S31+T31+U31+V31)</f>
        <v>#REF!</v>
      </c>
      <c r="W35" s="56" t="e">
        <f>+(O27+#REF!+#REF!+#REF!+#REF!+#REF!+#REF!+P27+Q27+R27+S27+T27+U27+V27+W27)/(O31+#REF!+#REF!+#REF!+#REF!+#REF!+#REF!+P31+Q31+R31+S31+T31+U31+V31+W31)</f>
        <v>#REF!</v>
      </c>
      <c r="X35" s="57" t="e">
        <f>+(O27+#REF!+#REF!+#REF!+#REF!+#REF!+#REF!+P27+Q27+R27+S27+T27+U27+V27+W27+X27)/(O31+#REF!+#REF!+#REF!+#REF!+#REF!+#REF!+P31+Q31+R31+S31+T31+U31+V31+W31+X31)</f>
        <v>#REF!</v>
      </c>
      <c r="Y35" s="56" t="e">
        <f>+(O27+#REF!+#REF!+#REF!+#REF!+#REF!+#REF!+P27+Q27+R27+S27+T27+U27+V27+W27+X27+Y27)/(O31+#REF!+#REF!+#REF!+#REF!+#REF!+#REF!+P31+Q31+R31+S31+T31+U31+V31+W31+X31+Y31)</f>
        <v>#REF!</v>
      </c>
      <c r="Z35" s="56" t="e">
        <f>+(O27+#REF!+#REF!+#REF!+#REF!+#REF!+#REF!+P27+Q27+R27+S27+T27+U27+V27+W27+X27+Y27+Z27)/(O31+#REF!+#REF!+#REF!+#REF!+#REF!+#REF!+P31+Q31+R31+S31+T31+U31+V31+W31+X31+Y31+Z31)</f>
        <v>#REF!</v>
      </c>
      <c r="AA35" s="56" t="e">
        <f>+(O27+#REF!+#REF!+#REF!+#REF!+#REF!+#REF!+P27+Q27+R27+S27+T27+U27+V27+W27+X27+Y27+Z27+AA27)/(O31+#REF!+#REF!+#REF!+#REF!+#REF!+#REF!+P31+Q31+R31+S31+T31+U31+V31+W31+X31+Y31+Z31+AA31)</f>
        <v>#REF!</v>
      </c>
      <c r="AB35" s="57" t="e">
        <f>+(O27+#REF!+#REF!+#REF!+#REF!+#REF!+#REF!+P27+Q27+R27+S27+T27+U27+V27+W27+X27+Y27+Z27+AA27+AB27)/(O31+#REF!+#REF!+#REF!+#REF!+#REF!+#REF!+P31+Q31+R31+S31+T31+U31+V31+W31+X31+Y31+Z31+AA31+AB31)</f>
        <v>#REF!</v>
      </c>
      <c r="AC35" s="58" t="e">
        <f>+(O27+#REF!+#REF!+#REF!+#REF!+#REF!+#REF!+P27+Q27+R27+S27+T27+U27+V27+W27+X27+Y27+Z27+AA27+AB27+AC27)/(O31+#REF!+#REF!+#REF!+#REF!+#REF!+#REF!+P31+Q31+R31+S31+T31+U31+V31+W31+X31+Y31+Z31+AA31+AB31+AC31)</f>
        <v>#REF!</v>
      </c>
      <c r="AD35" s="56" t="e">
        <f>+(O27+#REF!+#REF!+#REF!+#REF!+#REF!+#REF!+P27+Q27+R27+S27+T27+U27+V27+W27+X27+Y27+Z27+AA27+AB27+AC27+AD27)/(O31+#REF!+#REF!+#REF!+#REF!+#REF!+#REF!+P31+Q31+R31+S31+T31+U31+V31+W31+X31+Y31+Z31+AA31+AB31+AC31+AD31)</f>
        <v>#REF!</v>
      </c>
      <c r="AE35" s="59"/>
    </row>
    <row r="36" spans="2:31" ht="30" hidden="1" customHeight="1" x14ac:dyDescent="0.35">
      <c r="H36" s="79"/>
      <c r="I36" s="266" t="s">
        <v>116</v>
      </c>
      <c r="J36" s="266"/>
      <c r="K36" s="57"/>
      <c r="L36" s="57"/>
      <c r="M36" s="57"/>
      <c r="N36" s="57"/>
      <c r="O36" s="57" t="e">
        <f>+O27/$F$27</f>
        <v>#REF!</v>
      </c>
      <c r="P36" s="57" t="e">
        <f>+(O27+#REF!+#REF!+#REF!+#REF!+#REF!+#REF!+P27)/$F$27</f>
        <v>#REF!</v>
      </c>
      <c r="Q36" s="60" t="e">
        <f>+(O27+#REF!+#REF!+#REF!+#REF!+#REF!+#REF!+P27+Q27)/$F$27</f>
        <v>#REF!</v>
      </c>
      <c r="R36" s="57" t="e">
        <f>+(O27+#REF!+#REF!+#REF!+#REF!+#REF!+#REF!+P27+Q27+R27)/$F$27</f>
        <v>#REF!</v>
      </c>
      <c r="S36" s="57" t="e">
        <f>+(O27+#REF!+#REF!+#REF!+#REF!+#REF!+#REF!+P27+Q27+R27+S27)/$F$27</f>
        <v>#REF!</v>
      </c>
      <c r="T36" s="57" t="e">
        <f>+(O27+#REF!+#REF!+#REF!+#REF!+#REF!+#REF!+P27+Q27+R27+S27+T27)/$F$27</f>
        <v>#REF!</v>
      </c>
      <c r="U36" s="57" t="e">
        <f>+(O27+#REF!+#REF!+#REF!+#REF!+#REF!+#REF!+P27+Q27+R27+S27+T27+U27)/$F$27</f>
        <v>#REF!</v>
      </c>
      <c r="V36" s="57" t="e">
        <f>+(O27+#REF!+#REF!+#REF!+#REF!+#REF!+#REF!+P27+Q27+R27+S27+T27+U27+V27)/$F$27</f>
        <v>#REF!</v>
      </c>
      <c r="W36" s="57" t="e">
        <f>+(O27+#REF!+#REF!+#REF!+#REF!+#REF!+#REF!+P27+Q27+R27+S27+T27+U27+V27+W27)/$F$27</f>
        <v>#REF!</v>
      </c>
      <c r="X36" s="57" t="e">
        <f>+(O27+#REF!+#REF!+#REF!+#REF!+#REF!+#REF!+P27+Q27+R27+S27+T27+U27+V27+W27+X27)/$F$27</f>
        <v>#REF!</v>
      </c>
      <c r="Y36" s="57" t="e">
        <f>+(O27+#REF!+#REF!+#REF!+#REF!+#REF!+#REF!+P27+Q27+R27+S27+T27+U27+V27+W27+X27+Y27)/$F$27</f>
        <v>#REF!</v>
      </c>
      <c r="Z36" s="57" t="e">
        <f>+(O27+#REF!+#REF!+#REF!+#REF!+#REF!+#REF!+P27+Q27+R27+S27+T27+U27+V27+W27+X27+Y27+Z27)/$F$27</f>
        <v>#REF!</v>
      </c>
      <c r="AA36" s="57" t="e">
        <f>+(O27+#REF!+#REF!+#REF!+#REF!+#REF!+#REF!+P27+Q27+R27+S27+T27+U27+V27+W27+X27+Y27+Z27+AA27)/$F$27</f>
        <v>#REF!</v>
      </c>
      <c r="AB36" s="57" t="e">
        <f>+(O27+#REF!+#REF!+#REF!+#REF!+#REF!+#REF!+P27+Q27+R27+S27+T27+U27+V27+W27+X27+Y27+Z27+AA27+AB27)/$F$27</f>
        <v>#REF!</v>
      </c>
      <c r="AC36" s="60" t="e">
        <f>+(O27+#REF!+#REF!+#REF!+#REF!+#REF!+#REF!+P27+Q27+R27+S27+T27+U27+V27+W27+X27+Y27+Z27+AA27+AB27+AC27)/$F$27</f>
        <v>#REF!</v>
      </c>
      <c r="AD36" s="57" t="e">
        <f>+(O27+#REF!+#REF!+#REF!+#REF!+#REF!+#REF!+P27+Q27+R27+S27+T27+U27+V27+W27+X27+Y27+Z27+AA27+AB27+AC27+AD27)/$F$27</f>
        <v>#REF!</v>
      </c>
      <c r="AE36" s="61"/>
    </row>
    <row r="37" spans="2:31" ht="30" hidden="1" customHeight="1" x14ac:dyDescent="0.35">
      <c r="I37" s="265" t="s">
        <v>117</v>
      </c>
      <c r="J37" s="265"/>
      <c r="K37" s="62"/>
      <c r="L37" s="62"/>
      <c r="M37" s="62"/>
      <c r="N37" s="62"/>
      <c r="O37" s="62"/>
      <c r="P37" s="57" t="e">
        <f>+P28/P32</f>
        <v>#REF!</v>
      </c>
      <c r="Q37" s="63"/>
      <c r="R37" s="62"/>
      <c r="S37" s="62"/>
      <c r="T37" s="57" t="e">
        <f>+T28/T32</f>
        <v>#REF!</v>
      </c>
      <c r="U37" s="62"/>
      <c r="V37" s="62"/>
      <c r="W37" s="62"/>
      <c r="X37" s="57" t="e">
        <f>+X28/X32</f>
        <v>#REF!</v>
      </c>
      <c r="Y37" s="62"/>
      <c r="Z37" s="62"/>
      <c r="AA37" s="62"/>
      <c r="AB37" s="57" t="e">
        <f>+AB28/AB32</f>
        <v>#REF!</v>
      </c>
      <c r="AC37" s="63"/>
      <c r="AD37" s="62"/>
      <c r="AE37" s="64"/>
    </row>
    <row r="38" spans="2:31" ht="30" hidden="1" customHeight="1" x14ac:dyDescent="0.35">
      <c r="I38" s="266" t="s">
        <v>118</v>
      </c>
      <c r="J38" s="266"/>
      <c r="K38" s="62"/>
      <c r="L38" s="62"/>
      <c r="M38" s="62"/>
      <c r="N38" s="62"/>
      <c r="O38" s="62"/>
      <c r="P38" s="57" t="e">
        <f>+(#REF!+P28)/$F$27</f>
        <v>#REF!</v>
      </c>
      <c r="Q38" s="63"/>
      <c r="R38" s="62"/>
      <c r="S38" s="62"/>
      <c r="T38" s="57" t="e">
        <f>+(#REF!+P28+T28)/$F$27</f>
        <v>#REF!</v>
      </c>
      <c r="U38" s="62"/>
      <c r="V38" s="62"/>
      <c r="W38" s="62"/>
      <c r="X38" s="57" t="e">
        <f>+(#REF!+P28+T28+X28)/$F$27</f>
        <v>#REF!</v>
      </c>
      <c r="Y38" s="62"/>
      <c r="Z38" s="62"/>
      <c r="AA38" s="62"/>
      <c r="AB38" s="57" t="e">
        <f>+(#REF!+P28+T28+X28+AB28)/$F$27</f>
        <v>#REF!</v>
      </c>
      <c r="AC38" s="63"/>
      <c r="AD38" s="62"/>
      <c r="AE38" s="64"/>
    </row>
    <row r="39" spans="2:31" ht="30" hidden="1" customHeight="1" x14ac:dyDescent="0.35">
      <c r="I39" s="265" t="s">
        <v>119</v>
      </c>
      <c r="J39" s="265"/>
      <c r="K39" s="62"/>
      <c r="L39" s="62"/>
      <c r="M39" s="62"/>
      <c r="N39" s="62"/>
      <c r="O39" s="62"/>
      <c r="P39" s="57" t="e">
        <f>+(#REF!+P28)/(#REF!+P32)</f>
        <v>#REF!</v>
      </c>
      <c r="Q39" s="63"/>
      <c r="R39" s="62"/>
      <c r="S39" s="62"/>
      <c r="T39" s="62"/>
      <c r="U39" s="62"/>
      <c r="V39" s="62"/>
      <c r="W39" s="62"/>
      <c r="X39" s="62"/>
      <c r="Y39" s="62"/>
      <c r="Z39" s="62"/>
      <c r="AA39" s="62"/>
      <c r="AB39" s="57" t="e">
        <f>+(#REF!+P28+T28+X28+AB28)/(#REF!+P32+T32+X32+AB32)</f>
        <v>#REF!</v>
      </c>
      <c r="AC39" s="63"/>
      <c r="AD39" s="62"/>
      <c r="AE39" s="64"/>
    </row>
    <row r="40" spans="2:31" ht="30" hidden="1" customHeight="1" x14ac:dyDescent="0.35">
      <c r="I40" s="265" t="s">
        <v>120</v>
      </c>
      <c r="J40" s="265"/>
      <c r="K40" s="62"/>
      <c r="L40" s="62"/>
      <c r="M40" s="62"/>
      <c r="N40" s="62"/>
      <c r="O40" s="62"/>
      <c r="P40" s="57" t="e">
        <f>+(#REF!+P28)/$F$27</f>
        <v>#REF!</v>
      </c>
      <c r="Q40" s="63"/>
      <c r="R40" s="62"/>
      <c r="S40" s="62"/>
      <c r="T40" s="62"/>
      <c r="U40" s="62"/>
      <c r="V40" s="62"/>
      <c r="W40" s="62"/>
      <c r="X40" s="62"/>
      <c r="Y40" s="62"/>
      <c r="Z40" s="62"/>
      <c r="AA40" s="62"/>
      <c r="AB40" s="57" t="e">
        <f>+(+#REF!+P28+T28+X28+AB28)/$F$27</f>
        <v>#REF!</v>
      </c>
      <c r="AC40" s="63"/>
      <c r="AD40" s="62"/>
      <c r="AE40" s="64"/>
    </row>
    <row r="41" spans="2:31" ht="15" hidden="1" customHeight="1" x14ac:dyDescent="0.35"/>
    <row r="42" spans="2:31" ht="35.15" hidden="1" customHeight="1" x14ac:dyDescent="0.35">
      <c r="H42" s="424" t="s">
        <v>307</v>
      </c>
      <c r="I42" s="424"/>
      <c r="J42" s="66" t="e">
        <f>+#REF!</f>
        <v>#REF!</v>
      </c>
      <c r="K42" s="67"/>
      <c r="L42" s="67"/>
      <c r="M42" s="67"/>
      <c r="N42" s="67"/>
      <c r="O42" s="67"/>
    </row>
    <row r="43" spans="2:31" ht="35.15" hidden="1" customHeight="1" x14ac:dyDescent="0.35">
      <c r="H43" s="424" t="s">
        <v>308</v>
      </c>
      <c r="I43" s="424"/>
      <c r="J43" s="68">
        <f>+F27</f>
        <v>1</v>
      </c>
      <c r="K43" s="67"/>
      <c r="L43" s="67"/>
      <c r="M43" s="67"/>
      <c r="N43" s="67"/>
      <c r="O43" s="67"/>
    </row>
    <row r="44" spans="2:31" ht="35.15" hidden="1" customHeight="1" x14ac:dyDescent="0.35">
      <c r="H44" s="424" t="s">
        <v>309</v>
      </c>
      <c r="I44" s="424"/>
      <c r="J44" s="69" t="e">
        <f>+J42/J43</f>
        <v>#REF!</v>
      </c>
      <c r="K44" s="67"/>
      <c r="L44" s="67"/>
      <c r="M44" s="67"/>
      <c r="N44" s="67"/>
      <c r="O44" s="67"/>
    </row>
    <row r="45" spans="2:31" ht="15" hidden="1" customHeight="1" x14ac:dyDescent="0.35">
      <c r="B45" s="270" t="s">
        <v>26</v>
      </c>
      <c r="C45" s="270" t="s">
        <v>27</v>
      </c>
      <c r="D45" s="270" t="s">
        <v>28</v>
      </c>
      <c r="E45" s="270" t="s">
        <v>29</v>
      </c>
      <c r="F45" s="270" t="s">
        <v>30</v>
      </c>
      <c r="G45" s="268" t="s">
        <v>31</v>
      </c>
      <c r="M45" s="268" t="s">
        <v>121</v>
      </c>
      <c r="N45" s="67"/>
      <c r="O45" s="67"/>
    </row>
    <row r="46" spans="2:31" ht="15" hidden="1" customHeight="1" x14ac:dyDescent="0.35">
      <c r="B46" s="269"/>
      <c r="C46" s="269"/>
      <c r="D46" s="269"/>
      <c r="E46" s="269"/>
      <c r="F46" s="269"/>
      <c r="G46" s="269"/>
      <c r="M46" s="269"/>
      <c r="N46" s="67"/>
      <c r="O46" s="67"/>
    </row>
    <row r="47" spans="2:31" ht="15" hidden="1" customHeight="1" x14ac:dyDescent="0.35">
      <c r="B47" s="13" t="s">
        <v>70</v>
      </c>
      <c r="C47" s="13" t="s">
        <v>122</v>
      </c>
      <c r="D47" s="13" t="s">
        <v>90</v>
      </c>
      <c r="E47" s="13" t="s">
        <v>91</v>
      </c>
      <c r="F47" s="13" t="s">
        <v>123</v>
      </c>
      <c r="G47" s="13" t="s">
        <v>124</v>
      </c>
      <c r="M47" s="13" t="s">
        <v>125</v>
      </c>
      <c r="N47" s="67"/>
      <c r="O47" s="67"/>
    </row>
    <row r="48" spans="2:31" ht="15" hidden="1" customHeight="1" x14ac:dyDescent="0.35">
      <c r="B48" s="13" t="s">
        <v>94</v>
      </c>
      <c r="C48" s="13" t="s">
        <v>89</v>
      </c>
      <c r="D48" s="13" t="s">
        <v>126</v>
      </c>
      <c r="E48" s="13" t="s">
        <v>127</v>
      </c>
      <c r="F48" s="13" t="s">
        <v>128</v>
      </c>
      <c r="G48" s="13" t="s">
        <v>129</v>
      </c>
      <c r="M48" s="13" t="s">
        <v>67</v>
      </c>
    </row>
    <row r="49" spans="2:13" ht="15" hidden="1" customHeight="1" x14ac:dyDescent="0.35">
      <c r="B49" s="13" t="s">
        <v>58</v>
      </c>
      <c r="C49" s="13" t="s">
        <v>77</v>
      </c>
      <c r="D49" s="13" t="s">
        <v>60</v>
      </c>
      <c r="E49" s="13" t="s">
        <v>130</v>
      </c>
      <c r="F49" s="13" t="s">
        <v>131</v>
      </c>
      <c r="G49" s="13" t="s">
        <v>132</v>
      </c>
      <c r="M49" s="13" t="s">
        <v>133</v>
      </c>
    </row>
    <row r="50" spans="2:13" ht="15" hidden="1" customHeight="1" x14ac:dyDescent="0.35">
      <c r="B50" s="13" t="s">
        <v>76</v>
      </c>
      <c r="C50" s="13" t="s">
        <v>82</v>
      </c>
      <c r="D50" s="13" t="s">
        <v>134</v>
      </c>
      <c r="E50" s="13" t="s">
        <v>135</v>
      </c>
      <c r="F50" s="13" t="s">
        <v>136</v>
      </c>
      <c r="G50" s="13" t="s">
        <v>137</v>
      </c>
    </row>
    <row r="51" spans="2:13" ht="15" hidden="1" customHeight="1" x14ac:dyDescent="0.35">
      <c r="B51" s="13" t="s">
        <v>81</v>
      </c>
      <c r="C51" s="13" t="s">
        <v>98</v>
      </c>
      <c r="D51" s="13" t="s">
        <v>71</v>
      </c>
      <c r="E51" s="13" t="s">
        <v>138</v>
      </c>
      <c r="F51" s="13" t="s">
        <v>139</v>
      </c>
      <c r="G51" s="13" t="s">
        <v>140</v>
      </c>
    </row>
    <row r="52" spans="2:13" ht="15" hidden="1" customHeight="1" x14ac:dyDescent="0.35">
      <c r="B52" s="13" t="s">
        <v>141</v>
      </c>
      <c r="C52" s="13" t="s">
        <v>142</v>
      </c>
      <c r="D52" s="13" t="s">
        <v>78</v>
      </c>
      <c r="E52" s="13" t="s">
        <v>104</v>
      </c>
      <c r="F52" s="13" t="s">
        <v>143</v>
      </c>
      <c r="G52" s="13" t="s">
        <v>87</v>
      </c>
    </row>
    <row r="53" spans="2:13" ht="15" hidden="1" customHeight="1" x14ac:dyDescent="0.35">
      <c r="B53" s="13" t="s">
        <v>144</v>
      </c>
      <c r="C53" s="13" t="s">
        <v>145</v>
      </c>
      <c r="D53" s="13" t="s">
        <v>146</v>
      </c>
      <c r="E53" s="13" t="s">
        <v>83</v>
      </c>
      <c r="F53" s="13" t="s">
        <v>147</v>
      </c>
      <c r="G53" s="13" t="s">
        <v>148</v>
      </c>
    </row>
    <row r="54" spans="2:13" ht="15" hidden="1" customHeight="1" x14ac:dyDescent="0.35">
      <c r="B54" s="13" t="s">
        <v>149</v>
      </c>
      <c r="C54" s="13" t="s">
        <v>150</v>
      </c>
      <c r="E54" s="13" t="s">
        <v>86</v>
      </c>
      <c r="F54" s="13" t="s">
        <v>151</v>
      </c>
      <c r="G54" s="13" t="s">
        <v>105</v>
      </c>
    </row>
    <row r="55" spans="2:13" ht="15" hidden="1" customHeight="1" x14ac:dyDescent="0.35">
      <c r="C55" s="13" t="s">
        <v>103</v>
      </c>
      <c r="E55" s="13" t="s">
        <v>95</v>
      </c>
      <c r="F55" s="13" t="s">
        <v>152</v>
      </c>
      <c r="G55" s="13" t="s">
        <v>73</v>
      </c>
    </row>
    <row r="56" spans="2:13" ht="15" hidden="1" customHeight="1" x14ac:dyDescent="0.35">
      <c r="C56" s="13" t="s">
        <v>59</v>
      </c>
      <c r="E56" s="13" t="s">
        <v>153</v>
      </c>
      <c r="F56" s="13" t="s">
        <v>154</v>
      </c>
      <c r="G56" s="13" t="s">
        <v>92</v>
      </c>
    </row>
    <row r="57" spans="2:13" ht="15" hidden="1" customHeight="1" x14ac:dyDescent="0.35">
      <c r="E57" s="13" t="s">
        <v>155</v>
      </c>
      <c r="F57" s="13" t="s">
        <v>156</v>
      </c>
      <c r="G57" s="13" t="s">
        <v>100</v>
      </c>
    </row>
    <row r="58" spans="2:13" ht="15" hidden="1" customHeight="1" x14ac:dyDescent="0.35">
      <c r="E58" s="13" t="s">
        <v>157</v>
      </c>
      <c r="F58" s="13" t="s">
        <v>158</v>
      </c>
      <c r="G58" s="13" t="s">
        <v>159</v>
      </c>
    </row>
    <row r="59" spans="2:13" ht="15" hidden="1" customHeight="1" x14ac:dyDescent="0.35">
      <c r="E59" s="13" t="s">
        <v>61</v>
      </c>
      <c r="G59" s="13" t="s">
        <v>160</v>
      </c>
    </row>
    <row r="60" spans="2:13" ht="15" hidden="1" customHeight="1" x14ac:dyDescent="0.35">
      <c r="E60" s="13" t="s">
        <v>161</v>
      </c>
      <c r="G60" s="13" t="s">
        <v>162</v>
      </c>
    </row>
    <row r="61" spans="2:13" ht="15" hidden="1" customHeight="1" x14ac:dyDescent="0.35">
      <c r="E61" s="13" t="s">
        <v>72</v>
      </c>
      <c r="G61" s="13" t="s">
        <v>163</v>
      </c>
    </row>
    <row r="62" spans="2:13" ht="15" hidden="1" customHeight="1" x14ac:dyDescent="0.35">
      <c r="E62" s="13" t="s">
        <v>99</v>
      </c>
      <c r="G62" s="13" t="s">
        <v>164</v>
      </c>
    </row>
    <row r="63" spans="2:13" ht="15" hidden="1" customHeight="1" x14ac:dyDescent="0.35">
      <c r="E63" s="13" t="s">
        <v>165</v>
      </c>
      <c r="G63" s="13" t="s">
        <v>166</v>
      </c>
    </row>
    <row r="64" spans="2:13" ht="15" hidden="1" customHeight="1" x14ac:dyDescent="0.35">
      <c r="E64" s="13" t="s">
        <v>79</v>
      </c>
      <c r="G64" s="13" t="s">
        <v>167</v>
      </c>
    </row>
    <row r="65" spans="5:7" ht="15" hidden="1" customHeight="1" x14ac:dyDescent="0.35">
      <c r="E65" s="13" t="s">
        <v>168</v>
      </c>
      <c r="G65" s="13" t="s">
        <v>169</v>
      </c>
    </row>
    <row r="66" spans="5:7" ht="15" hidden="1" customHeight="1" x14ac:dyDescent="0.35">
      <c r="G66" s="13" t="s">
        <v>170</v>
      </c>
    </row>
    <row r="67" spans="5:7" ht="15" hidden="1" customHeight="1" x14ac:dyDescent="0.35">
      <c r="G67" s="13" t="s">
        <v>171</v>
      </c>
    </row>
    <row r="68" spans="5:7" ht="15" hidden="1" customHeight="1" x14ac:dyDescent="0.35">
      <c r="G68" s="13" t="s">
        <v>172</v>
      </c>
    </row>
    <row r="69" spans="5:7" ht="15" hidden="1" customHeight="1" x14ac:dyDescent="0.35">
      <c r="G69" s="13" t="s">
        <v>173</v>
      </c>
    </row>
    <row r="70" spans="5:7" ht="15" hidden="1" customHeight="1" x14ac:dyDescent="0.35">
      <c r="G70" s="13" t="s">
        <v>174</v>
      </c>
    </row>
    <row r="71" spans="5:7" ht="15" hidden="1" customHeight="1" x14ac:dyDescent="0.35">
      <c r="G71" s="13" t="s">
        <v>175</v>
      </c>
    </row>
    <row r="72" spans="5:7" ht="15" hidden="1" customHeight="1" x14ac:dyDescent="0.35">
      <c r="G72" s="13" t="s">
        <v>176</v>
      </c>
    </row>
    <row r="73" spans="5:7" ht="15" hidden="1" customHeight="1" x14ac:dyDescent="0.35">
      <c r="G73" s="13" t="s">
        <v>177</v>
      </c>
    </row>
    <row r="74" spans="5:7" ht="15" hidden="1" customHeight="1" x14ac:dyDescent="0.35">
      <c r="G74" s="13" t="s">
        <v>178</v>
      </c>
    </row>
    <row r="75" spans="5:7" ht="15" hidden="1" customHeight="1" x14ac:dyDescent="0.35">
      <c r="G75" s="13" t="s">
        <v>179</v>
      </c>
    </row>
    <row r="76" spans="5:7" ht="15" hidden="1" customHeight="1" x14ac:dyDescent="0.35">
      <c r="G76" s="13" t="s">
        <v>180</v>
      </c>
    </row>
    <row r="77" spans="5:7" ht="15" hidden="1" customHeight="1" x14ac:dyDescent="0.35">
      <c r="G77" s="13" t="s">
        <v>181</v>
      </c>
    </row>
    <row r="78" spans="5:7" ht="15" hidden="1" customHeight="1" x14ac:dyDescent="0.35">
      <c r="G78" s="13" t="s">
        <v>182</v>
      </c>
    </row>
    <row r="79" spans="5:7" ht="15" hidden="1" customHeight="1" x14ac:dyDescent="0.35">
      <c r="G79" s="13" t="s">
        <v>183</v>
      </c>
    </row>
    <row r="80" spans="5:7" ht="15" hidden="1" customHeight="1" x14ac:dyDescent="0.35">
      <c r="G80" s="13" t="s">
        <v>184</v>
      </c>
    </row>
    <row r="81" spans="7:7" ht="15" hidden="1" customHeight="1" x14ac:dyDescent="0.35">
      <c r="G81" s="13" t="s">
        <v>96</v>
      </c>
    </row>
    <row r="82" spans="7:7" ht="15" hidden="1" customHeight="1" x14ac:dyDescent="0.35">
      <c r="G82" s="13" t="s">
        <v>185</v>
      </c>
    </row>
    <row r="83" spans="7:7" ht="15" hidden="1" customHeight="1" x14ac:dyDescent="0.35">
      <c r="G83" s="13" t="s">
        <v>186</v>
      </c>
    </row>
    <row r="84" spans="7:7" ht="15" hidden="1" customHeight="1" x14ac:dyDescent="0.35">
      <c r="G84" s="13" t="s">
        <v>187</v>
      </c>
    </row>
    <row r="85" spans="7:7" ht="15" hidden="1" customHeight="1" x14ac:dyDescent="0.35">
      <c r="G85" s="13" t="s">
        <v>62</v>
      </c>
    </row>
    <row r="86" spans="7:7" ht="15" hidden="1" customHeight="1" x14ac:dyDescent="0.35">
      <c r="G86" s="13" t="s">
        <v>188</v>
      </c>
    </row>
    <row r="87" spans="7:7" ht="15" hidden="1" customHeight="1" x14ac:dyDescent="0.35">
      <c r="G87" s="13" t="s">
        <v>189</v>
      </c>
    </row>
    <row r="88" spans="7:7" ht="15" hidden="1" customHeight="1" x14ac:dyDescent="0.35">
      <c r="G88" s="13" t="s">
        <v>190</v>
      </c>
    </row>
    <row r="89" spans="7:7" ht="15" hidden="1" customHeight="1" x14ac:dyDescent="0.35">
      <c r="G89" s="13" t="s">
        <v>191</v>
      </c>
    </row>
    <row r="90" spans="7:7" ht="15" hidden="1" customHeight="1" x14ac:dyDescent="0.35">
      <c r="G90" s="13" t="s">
        <v>192</v>
      </c>
    </row>
    <row r="91" spans="7:7" ht="15" hidden="1" customHeight="1" x14ac:dyDescent="0.35">
      <c r="G91" s="13" t="s">
        <v>193</v>
      </c>
    </row>
    <row r="92" spans="7:7" ht="15" hidden="1" customHeight="1" x14ac:dyDescent="0.35">
      <c r="G92" s="13" t="s">
        <v>194</v>
      </c>
    </row>
    <row r="93" spans="7:7" ht="15" hidden="1" customHeight="1" x14ac:dyDescent="0.35">
      <c r="G93" s="13" t="s">
        <v>195</v>
      </c>
    </row>
    <row r="94" spans="7:7" ht="15" hidden="1" customHeight="1" x14ac:dyDescent="0.35">
      <c r="G94" s="13" t="s">
        <v>196</v>
      </c>
    </row>
    <row r="95" spans="7:7" ht="15" hidden="1" customHeight="1" x14ac:dyDescent="0.35">
      <c r="G95" s="13" t="s">
        <v>197</v>
      </c>
    </row>
    <row r="96" spans="7:7" ht="15" hidden="1" customHeight="1" x14ac:dyDescent="0.35">
      <c r="G96" s="13" t="s">
        <v>198</v>
      </c>
    </row>
    <row r="97" spans="7:7" ht="15" hidden="1" customHeight="1" x14ac:dyDescent="0.35">
      <c r="G97" s="13" t="s">
        <v>199</v>
      </c>
    </row>
    <row r="98" spans="7:7" ht="15" hidden="1" customHeight="1" x14ac:dyDescent="0.35">
      <c r="G98" s="13" t="s">
        <v>200</v>
      </c>
    </row>
    <row r="99" spans="7:7" ht="15" hidden="1" customHeight="1" x14ac:dyDescent="0.35">
      <c r="G99" s="13" t="s">
        <v>14</v>
      </c>
    </row>
    <row r="100" spans="7:7" ht="15" hidden="1" customHeight="1" x14ac:dyDescent="0.35">
      <c r="G100" s="13" t="s">
        <v>201</v>
      </c>
    </row>
    <row r="101" spans="7:7" ht="15" hidden="1" customHeight="1" x14ac:dyDescent="0.35">
      <c r="G101" s="13" t="s">
        <v>84</v>
      </c>
    </row>
    <row r="102" spans="7:7" ht="15" hidden="1" customHeight="1" x14ac:dyDescent="0.35">
      <c r="G102" s="13" t="s">
        <v>202</v>
      </c>
    </row>
    <row r="103" spans="7:7" ht="15" hidden="1" customHeight="1" x14ac:dyDescent="0.35">
      <c r="G103" s="13" t="s">
        <v>203</v>
      </c>
    </row>
    <row r="104" spans="7:7" ht="15" hidden="1" customHeight="1" x14ac:dyDescent="0.35">
      <c r="G104" s="13" t="s">
        <v>204</v>
      </c>
    </row>
    <row r="105" spans="7:7" ht="15" hidden="1" customHeight="1" x14ac:dyDescent="0.35">
      <c r="G105" s="13" t="s">
        <v>205</v>
      </c>
    </row>
    <row r="106" spans="7:7" ht="15" hidden="1" customHeight="1" x14ac:dyDescent="0.35">
      <c r="G106" s="13" t="s">
        <v>206</v>
      </c>
    </row>
  </sheetData>
  <sheetProtection algorithmName="SHA-512" hashValue="jmJC+6qUQxLCktsiDEWFi/z93vJEwuJsKU96FfjBJPkXEPgzjOlZWBRpuiQqTpl9HBo61EjceHr++mit4SUblw==" saltValue="WfrH49mN9kcCV2G+yvCnKw==" spinCount="100000" sheet="1" formatCells="0" formatColumns="0" formatRows="0" insertColumns="0" insertRows="0" insertHyperlinks="0" deleteColumns="0" deleteRows="0" sort="0" autoFilter="0" pivotTables="0"/>
  <protectedRanges>
    <protectedRange sqref="S14:AD14 S16:AD16 S18:AD18 S20:AD20 S22:AD22 S24:AD24 AF14:AI25" name="Rango1"/>
  </protectedRanges>
  <autoFilter ref="A13:AI13" xr:uid="{3BB1347B-EBF9-4B9E-B402-EBAAC9B87EF8}"/>
  <mergeCells count="194">
    <mergeCell ref="A1:C3"/>
    <mergeCell ref="D1:AI3"/>
    <mergeCell ref="A4:A5"/>
    <mergeCell ref="G4:G5"/>
    <mergeCell ref="A6:B10"/>
    <mergeCell ref="C6:D10"/>
    <mergeCell ref="E6:F10"/>
    <mergeCell ref="G6:G10"/>
    <mergeCell ref="H6:I10"/>
    <mergeCell ref="J6:J10"/>
    <mergeCell ref="AH6:AH10"/>
    <mergeCell ref="A11:F11"/>
    <mergeCell ref="G11:O11"/>
    <mergeCell ref="P11:AE11"/>
    <mergeCell ref="AF11:AI11"/>
    <mergeCell ref="K6:L10"/>
    <mergeCell ref="M6:M10"/>
    <mergeCell ref="N6:O10"/>
    <mergeCell ref="P6:R10"/>
    <mergeCell ref="S6:V10"/>
    <mergeCell ref="W6:Z10"/>
    <mergeCell ref="AA6:AD10"/>
    <mergeCell ref="AE6:AF10"/>
    <mergeCell ref="AG6:AG10"/>
    <mergeCell ref="AI6:AI10"/>
    <mergeCell ref="O12:O13"/>
    <mergeCell ref="P12:P13"/>
    <mergeCell ref="Q12:Q13"/>
    <mergeCell ref="R12:R13"/>
    <mergeCell ref="G12:G13"/>
    <mergeCell ref="H12:H13"/>
    <mergeCell ref="I12:I13"/>
    <mergeCell ref="J12:J13"/>
    <mergeCell ref="K12:K13"/>
    <mergeCell ref="L12:L13"/>
    <mergeCell ref="AE12:AE13"/>
    <mergeCell ref="AF12:AF13"/>
    <mergeCell ref="AG12:AG13"/>
    <mergeCell ref="AI12:AI13"/>
    <mergeCell ref="A14:A15"/>
    <mergeCell ref="B14:B15"/>
    <mergeCell ref="C14:C15"/>
    <mergeCell ref="D14:D15"/>
    <mergeCell ref="E14:E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AH14:AH15"/>
    <mergeCell ref="AI14:AI15"/>
    <mergeCell ref="M14:M15"/>
    <mergeCell ref="A12:A13"/>
    <mergeCell ref="B16:B17"/>
    <mergeCell ref="C16:C17"/>
    <mergeCell ref="D16:D17"/>
    <mergeCell ref="E16:E17"/>
    <mergeCell ref="F16:F17"/>
    <mergeCell ref="G16:G17"/>
    <mergeCell ref="H16:H17"/>
    <mergeCell ref="L14:L15"/>
    <mergeCell ref="AH12:AH13"/>
    <mergeCell ref="B12:B13"/>
    <mergeCell ref="C12:C13"/>
    <mergeCell ref="D12:D13"/>
    <mergeCell ref="E12:E13"/>
    <mergeCell ref="F12:F13"/>
    <mergeCell ref="N14:N15"/>
    <mergeCell ref="O14:O15"/>
    <mergeCell ref="AF14:AF15"/>
    <mergeCell ref="AG14:AG15"/>
    <mergeCell ref="F14:F15"/>
    <mergeCell ref="G14:G15"/>
    <mergeCell ref="H14:H15"/>
    <mergeCell ref="I14:I15"/>
    <mergeCell ref="J14:J15"/>
    <mergeCell ref="K14:K15"/>
    <mergeCell ref="O16:O17"/>
    <mergeCell ref="AF16:AF17"/>
    <mergeCell ref="AG16:AG17"/>
    <mergeCell ref="AH16:AH17"/>
    <mergeCell ref="AI16:AI17"/>
    <mergeCell ref="A18:A19"/>
    <mergeCell ref="B18:B19"/>
    <mergeCell ref="C18:C19"/>
    <mergeCell ref="D18:D19"/>
    <mergeCell ref="E18:E19"/>
    <mergeCell ref="I16:I17"/>
    <mergeCell ref="J16:J17"/>
    <mergeCell ref="K16:K17"/>
    <mergeCell ref="L16:L17"/>
    <mergeCell ref="M16:M17"/>
    <mergeCell ref="N16:N17"/>
    <mergeCell ref="AH18:AH19"/>
    <mergeCell ref="AI18:AI19"/>
    <mergeCell ref="M18:M19"/>
    <mergeCell ref="N18:N19"/>
    <mergeCell ref="O18:O19"/>
    <mergeCell ref="AF18:AF19"/>
    <mergeCell ref="AG18:AG19"/>
    <mergeCell ref="A16:A17"/>
    <mergeCell ref="B20:B21"/>
    <mergeCell ref="C20:C21"/>
    <mergeCell ref="D20:D21"/>
    <mergeCell ref="E20:E21"/>
    <mergeCell ref="F20:F21"/>
    <mergeCell ref="G20:G21"/>
    <mergeCell ref="H20:H21"/>
    <mergeCell ref="L18:L19"/>
    <mergeCell ref="F18:F19"/>
    <mergeCell ref="G18:G19"/>
    <mergeCell ref="H18:H19"/>
    <mergeCell ref="I18:I19"/>
    <mergeCell ref="J18:J19"/>
    <mergeCell ref="K18:K19"/>
    <mergeCell ref="O20:O21"/>
    <mergeCell ref="AF20:AF21"/>
    <mergeCell ref="AG20:AG21"/>
    <mergeCell ref="AH20:AH21"/>
    <mergeCell ref="AI20:AI21"/>
    <mergeCell ref="A22:A23"/>
    <mergeCell ref="B22:B23"/>
    <mergeCell ref="C22:C23"/>
    <mergeCell ref="D22:D23"/>
    <mergeCell ref="E22:E23"/>
    <mergeCell ref="I20:I21"/>
    <mergeCell ref="J20:J21"/>
    <mergeCell ref="K20:K21"/>
    <mergeCell ref="L20:L21"/>
    <mergeCell ref="M20:M21"/>
    <mergeCell ref="N20:N21"/>
    <mergeCell ref="AH22:AH23"/>
    <mergeCell ref="AI22:AI23"/>
    <mergeCell ref="M22:M23"/>
    <mergeCell ref="N22:N23"/>
    <mergeCell ref="O22:O23"/>
    <mergeCell ref="AF22:AF23"/>
    <mergeCell ref="AG22:AG23"/>
    <mergeCell ref="A20:A21"/>
    <mergeCell ref="A24:A25"/>
    <mergeCell ref="B24:B25"/>
    <mergeCell ref="C24:C25"/>
    <mergeCell ref="D24:D25"/>
    <mergeCell ref="E24:E25"/>
    <mergeCell ref="F24:F25"/>
    <mergeCell ref="G24:G25"/>
    <mergeCell ref="H24:H25"/>
    <mergeCell ref="L22:L23"/>
    <mergeCell ref="F22:F23"/>
    <mergeCell ref="G22:G23"/>
    <mergeCell ref="H22:H23"/>
    <mergeCell ref="I22:I23"/>
    <mergeCell ref="J22:J23"/>
    <mergeCell ref="K22:K23"/>
    <mergeCell ref="AH24:AH25"/>
    <mergeCell ref="AI24:AI25"/>
    <mergeCell ref="D27:E27"/>
    <mergeCell ref="H27:H30"/>
    <mergeCell ref="D28:E28"/>
    <mergeCell ref="I24:I25"/>
    <mergeCell ref="J24:J25"/>
    <mergeCell ref="K24:K25"/>
    <mergeCell ref="L24:L25"/>
    <mergeCell ref="M24:M25"/>
    <mergeCell ref="N24:N25"/>
    <mergeCell ref="H31:H34"/>
    <mergeCell ref="I35:J35"/>
    <mergeCell ref="I36:J36"/>
    <mergeCell ref="I37:J37"/>
    <mergeCell ref="I38:J38"/>
    <mergeCell ref="I39:J39"/>
    <mergeCell ref="O24:O25"/>
    <mergeCell ref="AF24:AF25"/>
    <mergeCell ref="AG24:AG25"/>
    <mergeCell ref="M45:M46"/>
    <mergeCell ref="I40:J40"/>
    <mergeCell ref="H42:I42"/>
    <mergeCell ref="H43:I43"/>
    <mergeCell ref="H44:I44"/>
    <mergeCell ref="B45:B46"/>
    <mergeCell ref="C45:C46"/>
    <mergeCell ref="D45:D46"/>
    <mergeCell ref="E45:E46"/>
    <mergeCell ref="F45:F46"/>
    <mergeCell ref="G45:G46"/>
  </mergeCells>
  <conditionalFormatting sqref="I4">
    <cfRule type="cellIs" dxfId="172" priority="16" operator="lessThanOrEqual">
      <formula>$C$4</formula>
    </cfRule>
  </conditionalFormatting>
  <conditionalFormatting sqref="J6">
    <cfRule type="cellIs" dxfId="171" priority="17" operator="greaterThanOrEqual">
      <formula>$C$5</formula>
    </cfRule>
    <cfRule type="cellIs" dxfId="170" priority="18" operator="lessThanOrEqual">
      <formula>$C$4</formula>
    </cfRule>
    <cfRule type="cellIs" dxfId="169" priority="19" operator="between">
      <formula>$C$5</formula>
      <formula>$C$4</formula>
    </cfRule>
  </conditionalFormatting>
  <conditionalFormatting sqref="P6">
    <cfRule type="cellIs" dxfId="168" priority="13" operator="greaterThanOrEqual">
      <formula>$I$5</formula>
    </cfRule>
    <cfRule type="cellIs" dxfId="167" priority="14" operator="lessThanOrEqual">
      <formula>$I$4</formula>
    </cfRule>
    <cfRule type="cellIs" dxfId="166" priority="15" operator="between">
      <formula>$I$5</formula>
      <formula>$I$4</formula>
    </cfRule>
  </conditionalFormatting>
  <conditionalFormatting sqref="R14:R25">
    <cfRule type="cellIs" dxfId="165" priority="10" operator="greaterThanOrEqual">
      <formula>$C$5</formula>
    </cfRule>
    <cfRule type="cellIs" dxfId="164" priority="11" operator="lessThanOrEqual">
      <formula>$C$4</formula>
    </cfRule>
    <cfRule type="cellIs" dxfId="163" priority="12" operator="between">
      <formula>$C$5</formula>
      <formula>$C$4</formula>
    </cfRule>
  </conditionalFormatting>
  <conditionalFormatting sqref="T35:T38 X35:X38 P35:P40 AB35:AB40 K36:O36 Q36:S36 U36:W36 Y36:AA36 AC36:AE36 J44">
    <cfRule type="cellIs" dxfId="162" priority="20" operator="greaterThanOrEqual">
      <formula>$D$9</formula>
    </cfRule>
    <cfRule type="cellIs" dxfId="161" priority="21" operator="lessThanOrEqual">
      <formula>$C$6</formula>
    </cfRule>
    <cfRule type="cellIs" dxfId="160" priority="22" operator="between">
      <formula>$C$6</formula>
      <formula>$D$9</formula>
    </cfRule>
  </conditionalFormatting>
  <conditionalFormatting sqref="W6">
    <cfRule type="cellIs" dxfId="159" priority="7" operator="greaterThanOrEqual">
      <formula>$I$5</formula>
    </cfRule>
    <cfRule type="cellIs" dxfId="158" priority="8" operator="lessThanOrEqual">
      <formula>$I$4</formula>
    </cfRule>
    <cfRule type="cellIs" dxfId="157" priority="9" operator="between">
      <formula>$I$5</formula>
      <formula>$I$4</formula>
    </cfRule>
  </conditionalFormatting>
  <conditionalFormatting sqref="AE6">
    <cfRule type="cellIs" dxfId="156" priority="1" operator="greaterThanOrEqual">
      <formula>$I$5</formula>
    </cfRule>
    <cfRule type="cellIs" dxfId="155" priority="2" operator="lessThanOrEqual">
      <formula>$I$4</formula>
    </cfRule>
    <cfRule type="cellIs" dxfId="154" priority="3" operator="between">
      <formula>$I$5</formula>
      <formula>$I$4</formula>
    </cfRule>
  </conditionalFormatting>
  <conditionalFormatting sqref="AH6">
    <cfRule type="cellIs" dxfId="153" priority="4" operator="greaterThanOrEqual">
      <formula>$I$5</formula>
    </cfRule>
    <cfRule type="cellIs" dxfId="152" priority="5" operator="lessThanOrEqual">
      <formula>$I$4</formula>
    </cfRule>
    <cfRule type="cellIs" dxfId="151" priority="6" operator="between">
      <formula>$I$5</formula>
      <formula>$I$4</formula>
    </cfRule>
  </conditionalFormatting>
  <dataValidations count="9">
    <dataValidation type="list" allowBlank="1" showInputMessage="1" showErrorMessage="1" sqref="G14:G25" xr:uid="{B2B1EA9F-0304-409C-B2EE-01D7F243CC7B}">
      <formula1>$G$47:$G$106</formula1>
    </dataValidation>
    <dataValidation type="list" allowBlank="1" showInputMessage="1" showErrorMessage="1" sqref="E14:E25" xr:uid="{98831ACD-B310-44C8-953D-09403EC8127A}">
      <formula1>$E$47:$E$65</formula1>
    </dataValidation>
    <dataValidation type="list" allowBlank="1" showInputMessage="1" showErrorMessage="1" sqref="D14:D25" xr:uid="{89177B5E-DD69-4647-B1CB-DF650FB65C21}">
      <formula1>$D$48:$D$53</formula1>
    </dataValidation>
    <dataValidation type="list" allowBlank="1" showInputMessage="1" showErrorMessage="1" sqref="C14:C25" xr:uid="{61F50762-BB6A-4819-A0D6-D51230F6F5FE}">
      <formula1>$C$47:$C$56</formula1>
    </dataValidation>
    <dataValidation type="list" allowBlank="1" showInputMessage="1" showErrorMessage="1" sqref="B14:B25" xr:uid="{8BACBC13-58AD-46E5-8070-3956D59F3056}">
      <formula1>$B$47:$B$54</formula1>
    </dataValidation>
    <dataValidation type="decimal" allowBlank="1" showInputMessage="1" showErrorMessage="1" prompt="valor porcentual de la activida - Indique el peso porcentual de la actividad dentro del proyecto" sqref="Q14 Q22 Q18 Q16 Q20 Q24" xr:uid="{6DCE9F6C-7B5D-4B50-AC20-3ECAFE314D49}">
      <formula1>0</formula1>
      <formula2>1</formula2>
    </dataValidation>
    <dataValidation type="decimal" allowBlank="1" showInputMessage="1" showErrorMessage="1" prompt="campo calculado  - indica el % de avance  que aporta la activadad a todo el proyecto" sqref="Q23 Q21 Q19 Q15 Q17 Q25" xr:uid="{E5402039-BE70-4526-A24E-4D7829E93B2F}">
      <formula1>0</formula1>
      <formula2>1</formula2>
    </dataValidation>
    <dataValidation type="decimal" allowBlank="1" showInputMessage="1" showErrorMessage="1" prompt="% de avance en la actividad - indique el % programado de avance durante esta semana_x000a_" sqref="V24:AD24 S14:AD23 AE14:AE24 S25:AE25" xr:uid="{2C2A5555-F61D-4346-A6B5-B0FE7CC309A8}">
      <formula1>0</formula1>
      <formula2>1</formula2>
    </dataValidation>
    <dataValidation allowBlank="1" showErrorMessage="1" sqref="R14:R25" xr:uid="{84B91AAC-A6A8-47D1-9867-ACA0822DAD4F}"/>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EEDD-C665-442B-94BF-E13EC921C62F}">
  <dimension ref="A1:AF417"/>
  <sheetViews>
    <sheetView view="pageBreakPreview" topLeftCell="S1" zoomScale="60" zoomScaleNormal="60" workbookViewId="0">
      <selection activeCell="V12" sqref="V12"/>
    </sheetView>
  </sheetViews>
  <sheetFormatPr baseColWidth="10" defaultColWidth="11.453125" defaultRowHeight="14.5" x14ac:dyDescent="0.35"/>
  <cols>
    <col min="1" max="1" width="47.54296875" style="1" customWidth="1"/>
    <col min="2" max="2" width="39.453125" style="1" customWidth="1"/>
    <col min="3" max="3" width="30.453125" style="1" customWidth="1"/>
    <col min="4" max="4" width="19.453125" style="1" customWidth="1"/>
    <col min="5" max="5" width="31.54296875" style="1" customWidth="1"/>
    <col min="6" max="6" width="49.453125" style="1" customWidth="1"/>
    <col min="7" max="7" width="29.453125" style="1" customWidth="1"/>
    <col min="8" max="8" width="30.453125" style="1" customWidth="1"/>
    <col min="9" max="9" width="22.453125" style="1" bestFit="1" customWidth="1"/>
    <col min="10" max="10" width="18.54296875" style="1" customWidth="1"/>
    <col min="11" max="11" width="27.54296875" style="1" customWidth="1"/>
    <col min="12" max="14" width="23" style="1" customWidth="1"/>
    <col min="15" max="15" width="19.453125" style="1" customWidth="1"/>
    <col min="16" max="16" width="23" style="1" customWidth="1"/>
    <col min="17" max="17" width="30.54296875" style="1" bestFit="1" customWidth="1"/>
    <col min="18" max="21" width="23" style="1" customWidth="1"/>
    <col min="22" max="22" width="39.54296875" style="1" customWidth="1"/>
    <col min="23" max="27" width="23" style="1" customWidth="1"/>
    <col min="28" max="16384" width="11.453125" style="1"/>
  </cols>
  <sheetData>
    <row r="1" spans="1:32" ht="40" customHeight="1" x14ac:dyDescent="0.35">
      <c r="A1" s="461"/>
      <c r="B1" s="462"/>
      <c r="C1" s="346" t="s">
        <v>310</v>
      </c>
      <c r="D1" s="347"/>
      <c r="E1" s="347"/>
      <c r="F1" s="347"/>
      <c r="G1" s="347"/>
      <c r="H1" s="347"/>
      <c r="I1" s="347"/>
      <c r="J1" s="347"/>
      <c r="K1" s="347"/>
      <c r="L1" s="347"/>
      <c r="M1" s="347"/>
      <c r="N1" s="347"/>
      <c r="O1" s="347"/>
      <c r="P1" s="347"/>
      <c r="Q1" s="347"/>
      <c r="R1" s="347"/>
      <c r="S1" s="347"/>
      <c r="T1" s="347"/>
      <c r="U1" s="347"/>
      <c r="V1" s="347"/>
      <c r="W1" s="347"/>
      <c r="X1" s="347"/>
      <c r="Y1" s="347"/>
      <c r="Z1" s="347"/>
      <c r="AA1" s="80"/>
    </row>
    <row r="2" spans="1:32" ht="40" customHeight="1" x14ac:dyDescent="0.35">
      <c r="A2" s="461"/>
      <c r="B2" s="462"/>
      <c r="C2" s="348"/>
      <c r="D2" s="349"/>
      <c r="E2" s="349"/>
      <c r="F2" s="349"/>
      <c r="G2" s="349"/>
      <c r="H2" s="349"/>
      <c r="I2" s="349"/>
      <c r="J2" s="349"/>
      <c r="K2" s="349"/>
      <c r="L2" s="349"/>
      <c r="M2" s="349"/>
      <c r="N2" s="349"/>
      <c r="O2" s="349"/>
      <c r="P2" s="349"/>
      <c r="Q2" s="349"/>
      <c r="R2" s="349"/>
      <c r="S2" s="349"/>
      <c r="T2" s="349"/>
      <c r="U2" s="349"/>
      <c r="V2" s="349"/>
      <c r="W2" s="349"/>
      <c r="X2" s="349"/>
      <c r="Y2" s="349"/>
      <c r="Z2" s="349"/>
      <c r="AA2" s="80"/>
    </row>
    <row r="3" spans="1:32" ht="40" customHeight="1" x14ac:dyDescent="0.35">
      <c r="A3" s="461"/>
      <c r="B3" s="462"/>
      <c r="C3" s="350"/>
      <c r="D3" s="351"/>
      <c r="E3" s="351"/>
      <c r="F3" s="351"/>
      <c r="G3" s="351"/>
      <c r="H3" s="351"/>
      <c r="I3" s="351"/>
      <c r="J3" s="351"/>
      <c r="K3" s="351"/>
      <c r="L3" s="351"/>
      <c r="M3" s="351"/>
      <c r="N3" s="351"/>
      <c r="O3" s="351"/>
      <c r="P3" s="351"/>
      <c r="Q3" s="351"/>
      <c r="R3" s="351"/>
      <c r="S3" s="351"/>
      <c r="T3" s="351"/>
      <c r="U3" s="351"/>
      <c r="V3" s="351"/>
      <c r="W3" s="351"/>
      <c r="X3" s="351"/>
      <c r="Y3" s="351"/>
      <c r="Z3" s="351"/>
      <c r="AA3" s="80"/>
    </row>
    <row r="4" spans="1:32" s="5" customFormat="1" ht="47.5" hidden="1" x14ac:dyDescent="0.35">
      <c r="A4" s="352" t="s">
        <v>9</v>
      </c>
      <c r="B4" s="9"/>
      <c r="C4" s="9"/>
      <c r="D4" s="6"/>
      <c r="E4" s="352" t="s">
        <v>11</v>
      </c>
      <c r="F4" s="8" t="s">
        <v>10</v>
      </c>
      <c r="G4" s="9">
        <v>0.7</v>
      </c>
      <c r="H4" s="10"/>
      <c r="I4" s="11"/>
      <c r="J4" s="11"/>
      <c r="K4" s="11"/>
      <c r="L4" s="11"/>
      <c r="M4" s="11"/>
      <c r="N4" s="11"/>
      <c r="O4" s="11"/>
      <c r="P4" s="11"/>
      <c r="Q4" s="11"/>
      <c r="R4" s="11"/>
      <c r="S4" s="11"/>
      <c r="T4" s="11"/>
      <c r="U4" s="11"/>
      <c r="V4" s="11"/>
      <c r="W4" s="11"/>
      <c r="X4" s="11"/>
      <c r="Y4" s="11"/>
      <c r="Z4" s="11"/>
      <c r="AA4" s="11"/>
      <c r="AB4" s="11"/>
      <c r="AC4" s="11"/>
      <c r="AD4" s="11"/>
      <c r="AE4" s="11"/>
      <c r="AF4" s="11"/>
    </row>
    <row r="5" spans="1:32" s="5" customFormat="1" ht="48" hidden="1" thickBot="1" x14ac:dyDescent="0.4">
      <c r="A5" s="463"/>
      <c r="B5" s="12"/>
      <c r="C5" s="12"/>
      <c r="D5" s="12">
        <v>1</v>
      </c>
      <c r="E5" s="463"/>
      <c r="F5" s="8" t="s">
        <v>12</v>
      </c>
      <c r="G5" s="12">
        <v>0.95</v>
      </c>
      <c r="H5" s="10"/>
      <c r="I5" s="11"/>
      <c r="J5" s="11"/>
      <c r="K5" s="11"/>
      <c r="L5" s="11"/>
      <c r="M5" s="11"/>
      <c r="N5" s="11"/>
      <c r="O5" s="11"/>
      <c r="P5" s="11"/>
      <c r="Q5" s="11"/>
      <c r="R5" s="11"/>
      <c r="S5" s="11"/>
      <c r="T5" s="11"/>
      <c r="U5" s="11"/>
      <c r="V5" s="11"/>
      <c r="W5" s="11"/>
      <c r="X5" s="11"/>
      <c r="Y5" s="11"/>
      <c r="Z5" s="11"/>
      <c r="AA5" s="11"/>
      <c r="AB5" s="11"/>
      <c r="AC5" s="11"/>
      <c r="AD5" s="11"/>
      <c r="AE5" s="11"/>
      <c r="AF5" s="11"/>
    </row>
    <row r="6" spans="1:32" s="13" customFormat="1" ht="20.149999999999999" customHeight="1" x14ac:dyDescent="0.35">
      <c r="A6" s="353" t="s">
        <v>13</v>
      </c>
      <c r="B6" s="464" t="s">
        <v>185</v>
      </c>
      <c r="C6" s="295" t="s">
        <v>15</v>
      </c>
      <c r="D6" s="297"/>
      <c r="E6" s="455">
        <v>1</v>
      </c>
      <c r="F6" s="295" t="s">
        <v>209</v>
      </c>
      <c r="G6" s="297"/>
      <c r="H6" s="304">
        <f>MAX(N6,R6,V6,Z6)</f>
        <v>0.49</v>
      </c>
      <c r="I6" s="295" t="s">
        <v>17</v>
      </c>
      <c r="J6" s="297"/>
      <c r="K6" s="455">
        <v>1</v>
      </c>
      <c r="L6" s="295" t="s">
        <v>210</v>
      </c>
      <c r="M6" s="297"/>
      <c r="N6" s="304">
        <v>0.49</v>
      </c>
      <c r="O6" s="305"/>
      <c r="P6" s="295" t="s">
        <v>211</v>
      </c>
      <c r="Q6" s="297"/>
      <c r="R6" s="469"/>
      <c r="S6" s="470"/>
      <c r="T6" s="295" t="s">
        <v>212</v>
      </c>
      <c r="U6" s="297"/>
      <c r="V6" s="304"/>
      <c r="W6" s="299" t="s">
        <v>213</v>
      </c>
      <c r="X6" s="299"/>
      <c r="Y6" s="306"/>
      <c r="Z6" s="326"/>
      <c r="AA6" s="234"/>
    </row>
    <row r="7" spans="1:32" s="13" customFormat="1" ht="14.9" customHeight="1" x14ac:dyDescent="0.35">
      <c r="A7" s="353"/>
      <c r="B7" s="465"/>
      <c r="C7" s="298"/>
      <c r="D7" s="300"/>
      <c r="E7" s="456"/>
      <c r="F7" s="298"/>
      <c r="G7" s="300"/>
      <c r="H7" s="306"/>
      <c r="I7" s="298"/>
      <c r="J7" s="300"/>
      <c r="K7" s="456"/>
      <c r="L7" s="298"/>
      <c r="M7" s="300"/>
      <c r="N7" s="306"/>
      <c r="O7" s="307"/>
      <c r="P7" s="298"/>
      <c r="Q7" s="300"/>
      <c r="R7" s="471"/>
      <c r="S7" s="472"/>
      <c r="T7" s="298"/>
      <c r="U7" s="300"/>
      <c r="V7" s="306"/>
      <c r="W7" s="299"/>
      <c r="X7" s="299"/>
      <c r="Y7" s="306"/>
      <c r="Z7" s="326"/>
      <c r="AA7" s="234"/>
    </row>
    <row r="8" spans="1:32" s="13" customFormat="1" ht="14.9" customHeight="1" x14ac:dyDescent="0.35">
      <c r="A8" s="353"/>
      <c r="B8" s="465"/>
      <c r="C8" s="298"/>
      <c r="D8" s="300"/>
      <c r="E8" s="456"/>
      <c r="F8" s="298"/>
      <c r="G8" s="300"/>
      <c r="H8" s="306"/>
      <c r="I8" s="298"/>
      <c r="J8" s="300"/>
      <c r="K8" s="456"/>
      <c r="L8" s="298"/>
      <c r="M8" s="300"/>
      <c r="N8" s="306"/>
      <c r="O8" s="307"/>
      <c r="P8" s="298"/>
      <c r="Q8" s="300"/>
      <c r="R8" s="471"/>
      <c r="S8" s="472"/>
      <c r="T8" s="298"/>
      <c r="U8" s="300"/>
      <c r="V8" s="306"/>
      <c r="W8" s="299"/>
      <c r="X8" s="299"/>
      <c r="Y8" s="306"/>
      <c r="Z8" s="326"/>
      <c r="AA8" s="234"/>
    </row>
    <row r="9" spans="1:32" s="13" customFormat="1" ht="14.9" customHeight="1" x14ac:dyDescent="0.35">
      <c r="A9" s="353"/>
      <c r="B9" s="465"/>
      <c r="C9" s="298"/>
      <c r="D9" s="300"/>
      <c r="E9" s="456"/>
      <c r="F9" s="298"/>
      <c r="G9" s="300"/>
      <c r="H9" s="306"/>
      <c r="I9" s="298"/>
      <c r="J9" s="300"/>
      <c r="K9" s="456"/>
      <c r="L9" s="298"/>
      <c r="M9" s="300"/>
      <c r="N9" s="306"/>
      <c r="O9" s="307"/>
      <c r="P9" s="298"/>
      <c r="Q9" s="300"/>
      <c r="R9" s="471"/>
      <c r="S9" s="472"/>
      <c r="T9" s="298"/>
      <c r="U9" s="300"/>
      <c r="V9" s="306"/>
      <c r="W9" s="299"/>
      <c r="X9" s="299"/>
      <c r="Y9" s="306"/>
      <c r="Z9" s="326"/>
      <c r="AA9" s="234"/>
    </row>
    <row r="10" spans="1:32" s="13" customFormat="1" ht="15" customHeight="1" thickBot="1" x14ac:dyDescent="0.4">
      <c r="A10" s="353"/>
      <c r="B10" s="466"/>
      <c r="C10" s="467"/>
      <c r="D10" s="468"/>
      <c r="E10" s="457"/>
      <c r="F10" s="467"/>
      <c r="G10" s="468"/>
      <c r="H10" s="413"/>
      <c r="I10" s="467"/>
      <c r="J10" s="468"/>
      <c r="K10" s="457"/>
      <c r="L10" s="467"/>
      <c r="M10" s="468"/>
      <c r="N10" s="413"/>
      <c r="O10" s="415"/>
      <c r="P10" s="467"/>
      <c r="Q10" s="468"/>
      <c r="R10" s="473"/>
      <c r="S10" s="474"/>
      <c r="T10" s="467"/>
      <c r="U10" s="468"/>
      <c r="V10" s="308"/>
      <c r="W10" s="302"/>
      <c r="X10" s="302"/>
      <c r="Y10" s="413"/>
      <c r="Z10" s="414"/>
      <c r="AA10" s="234"/>
    </row>
    <row r="11" spans="1:32" ht="80.150000000000006" customHeight="1" thickBot="1" x14ac:dyDescent="0.4">
      <c r="A11" s="223" t="s">
        <v>311</v>
      </c>
      <c r="B11" s="224" t="s">
        <v>312</v>
      </c>
      <c r="C11" s="224" t="s">
        <v>313</v>
      </c>
      <c r="D11" s="224" t="s">
        <v>314</v>
      </c>
      <c r="E11" s="224" t="s">
        <v>315</v>
      </c>
      <c r="F11" s="224" t="s">
        <v>316</v>
      </c>
      <c r="G11" s="224" t="s">
        <v>317</v>
      </c>
      <c r="H11" s="223" t="s">
        <v>318</v>
      </c>
      <c r="I11" s="223" t="s">
        <v>319</v>
      </c>
      <c r="J11" s="223" t="s">
        <v>320</v>
      </c>
      <c r="K11" s="223" t="s">
        <v>321</v>
      </c>
      <c r="L11" s="223" t="s">
        <v>322</v>
      </c>
      <c r="M11" s="223" t="s">
        <v>323</v>
      </c>
      <c r="N11" s="224" t="s">
        <v>324</v>
      </c>
      <c r="O11" s="225" t="s">
        <v>325</v>
      </c>
      <c r="P11" s="223" t="s">
        <v>326</v>
      </c>
      <c r="Q11" s="224" t="s">
        <v>327</v>
      </c>
      <c r="R11" s="224" t="s">
        <v>328</v>
      </c>
      <c r="S11" s="224" t="s">
        <v>329</v>
      </c>
      <c r="T11" s="224" t="s">
        <v>330</v>
      </c>
      <c r="U11" s="224" t="s">
        <v>331</v>
      </c>
      <c r="V11" s="224" t="s">
        <v>332</v>
      </c>
      <c r="W11" s="226" t="s">
        <v>333</v>
      </c>
      <c r="X11" s="226" t="s">
        <v>334</v>
      </c>
      <c r="Y11" s="226" t="s">
        <v>335</v>
      </c>
      <c r="Z11" s="226" t="s">
        <v>336</v>
      </c>
    </row>
    <row r="12" spans="1:32" ht="43" customHeight="1" x14ac:dyDescent="0.35">
      <c r="A12" s="81" t="s">
        <v>337</v>
      </c>
      <c r="B12" s="82" t="s">
        <v>338</v>
      </c>
      <c r="C12" s="82" t="s">
        <v>339</v>
      </c>
      <c r="D12" s="83">
        <v>80101500</v>
      </c>
      <c r="E12" s="82" t="s">
        <v>340</v>
      </c>
      <c r="F12" s="82" t="s">
        <v>341</v>
      </c>
      <c r="G12" s="83" t="s">
        <v>43</v>
      </c>
      <c r="H12" s="83" t="s">
        <v>44</v>
      </c>
      <c r="I12" s="83">
        <v>3</v>
      </c>
      <c r="J12" s="84" t="s">
        <v>342</v>
      </c>
      <c r="K12" s="85">
        <v>80000000</v>
      </c>
      <c r="L12" s="86">
        <v>0.19</v>
      </c>
      <c r="M12" s="87">
        <f t="shared" ref="M12:M35" si="0">+K12*L12</f>
        <v>15200000</v>
      </c>
      <c r="N12" s="87">
        <f t="shared" ref="N12:N51" si="1">+K12+M12</f>
        <v>95200000</v>
      </c>
      <c r="O12" s="82" t="s">
        <v>343</v>
      </c>
      <c r="P12" s="82" t="s">
        <v>344</v>
      </c>
      <c r="Q12" s="85">
        <f>+N12</f>
        <v>95200000</v>
      </c>
      <c r="R12" s="85">
        <v>0</v>
      </c>
      <c r="S12" s="85">
        <v>0</v>
      </c>
      <c r="T12" s="85">
        <v>0</v>
      </c>
      <c r="U12" s="88" t="s">
        <v>345</v>
      </c>
      <c r="V12" s="89" t="s">
        <v>346</v>
      </c>
      <c r="W12" s="90">
        <f t="shared" ref="W12:W28" si="2">+Q12/1.19</f>
        <v>80000000</v>
      </c>
      <c r="X12" s="91" t="s">
        <v>347</v>
      </c>
      <c r="Y12" s="91" t="s">
        <v>347</v>
      </c>
      <c r="Z12" s="91" t="s">
        <v>348</v>
      </c>
    </row>
    <row r="13" spans="1:32" ht="43" customHeight="1" x14ac:dyDescent="0.35">
      <c r="A13" s="81" t="s">
        <v>337</v>
      </c>
      <c r="B13" s="82" t="s">
        <v>338</v>
      </c>
      <c r="C13" s="82" t="s">
        <v>339</v>
      </c>
      <c r="D13" s="83">
        <v>80101500</v>
      </c>
      <c r="E13" s="82" t="s">
        <v>340</v>
      </c>
      <c r="F13" s="82" t="s">
        <v>349</v>
      </c>
      <c r="G13" s="83" t="s">
        <v>48</v>
      </c>
      <c r="H13" s="83" t="s">
        <v>49</v>
      </c>
      <c r="I13" s="83">
        <v>1</v>
      </c>
      <c r="J13" s="84" t="s">
        <v>350</v>
      </c>
      <c r="K13" s="85">
        <v>10000000</v>
      </c>
      <c r="L13" s="86">
        <v>0.19</v>
      </c>
      <c r="M13" s="87">
        <f t="shared" si="0"/>
        <v>1900000</v>
      </c>
      <c r="N13" s="87">
        <f t="shared" si="1"/>
        <v>11900000</v>
      </c>
      <c r="O13" s="82" t="s">
        <v>343</v>
      </c>
      <c r="P13" s="82" t="s">
        <v>344</v>
      </c>
      <c r="Q13" s="85">
        <f>+N13</f>
        <v>11900000</v>
      </c>
      <c r="R13" s="85">
        <v>0</v>
      </c>
      <c r="S13" s="85">
        <v>0</v>
      </c>
      <c r="T13" s="85">
        <v>0</v>
      </c>
      <c r="U13" s="88" t="s">
        <v>345</v>
      </c>
      <c r="V13" s="92" t="s">
        <v>346</v>
      </c>
      <c r="W13" s="90">
        <f t="shared" si="2"/>
        <v>10000000</v>
      </c>
      <c r="X13" s="91" t="s">
        <v>347</v>
      </c>
      <c r="Y13" s="91" t="s">
        <v>347</v>
      </c>
      <c r="Z13" s="91" t="s">
        <v>348</v>
      </c>
    </row>
    <row r="14" spans="1:32" ht="43" customHeight="1" x14ac:dyDescent="0.35">
      <c r="A14" s="81" t="s">
        <v>337</v>
      </c>
      <c r="B14" s="82" t="s">
        <v>338</v>
      </c>
      <c r="C14" s="82" t="s">
        <v>351</v>
      </c>
      <c r="D14" s="93">
        <v>92121604</v>
      </c>
      <c r="E14" s="82" t="s">
        <v>352</v>
      </c>
      <c r="F14" s="82" t="s">
        <v>353</v>
      </c>
      <c r="G14" s="83" t="s">
        <v>42</v>
      </c>
      <c r="H14" s="83" t="s">
        <v>42</v>
      </c>
      <c r="I14" s="83">
        <v>12</v>
      </c>
      <c r="J14" s="84" t="s">
        <v>350</v>
      </c>
      <c r="K14" s="94">
        <v>37128000</v>
      </c>
      <c r="L14" s="86">
        <v>0.19</v>
      </c>
      <c r="M14" s="87">
        <f t="shared" si="0"/>
        <v>7054320</v>
      </c>
      <c r="N14" s="87">
        <f t="shared" si="1"/>
        <v>44182320</v>
      </c>
      <c r="O14" s="82" t="s">
        <v>343</v>
      </c>
      <c r="P14" s="82" t="s">
        <v>344</v>
      </c>
      <c r="Q14" s="87">
        <v>44182320</v>
      </c>
      <c r="R14" s="87">
        <v>0</v>
      </c>
      <c r="S14" s="87">
        <v>0</v>
      </c>
      <c r="T14" s="87">
        <v>0</v>
      </c>
      <c r="U14" s="82" t="s">
        <v>354</v>
      </c>
      <c r="V14" s="95"/>
      <c r="W14" s="96">
        <f t="shared" si="2"/>
        <v>37128000</v>
      </c>
      <c r="X14" s="91" t="s">
        <v>347</v>
      </c>
      <c r="Y14" s="91" t="s">
        <v>347</v>
      </c>
      <c r="Z14" s="91" t="s">
        <v>355</v>
      </c>
    </row>
    <row r="15" spans="1:32" ht="43" customHeight="1" x14ac:dyDescent="0.35">
      <c r="A15" s="81" t="s">
        <v>337</v>
      </c>
      <c r="B15" s="82" t="s">
        <v>338</v>
      </c>
      <c r="C15" s="82" t="s">
        <v>351</v>
      </c>
      <c r="D15" s="97">
        <v>43231500</v>
      </c>
      <c r="E15" s="82" t="s">
        <v>356</v>
      </c>
      <c r="F15" s="82" t="s">
        <v>357</v>
      </c>
      <c r="G15" s="83" t="s">
        <v>51</v>
      </c>
      <c r="H15" s="83" t="s">
        <v>53</v>
      </c>
      <c r="I15" s="83">
        <v>24</v>
      </c>
      <c r="J15" s="84" t="s">
        <v>350</v>
      </c>
      <c r="K15" s="94">
        <v>350701436.63999999</v>
      </c>
      <c r="L15" s="86">
        <v>0.19</v>
      </c>
      <c r="M15" s="87">
        <f t="shared" si="0"/>
        <v>66633272.961599998</v>
      </c>
      <c r="N15" s="87">
        <f t="shared" si="1"/>
        <v>417334709.60159999</v>
      </c>
      <c r="O15" s="82" t="s">
        <v>358</v>
      </c>
      <c r="P15" s="82" t="s">
        <v>359</v>
      </c>
      <c r="Q15" s="87">
        <v>195016219.44</v>
      </c>
      <c r="R15" s="98">
        <v>222318490.16159999</v>
      </c>
      <c r="S15" s="87">
        <v>0</v>
      </c>
      <c r="T15" s="87">
        <v>0</v>
      </c>
      <c r="U15" s="82" t="s">
        <v>360</v>
      </c>
      <c r="V15" s="82"/>
      <c r="W15" s="96">
        <f t="shared" si="2"/>
        <v>163879176</v>
      </c>
      <c r="X15" s="91" t="s">
        <v>347</v>
      </c>
      <c r="Y15" s="91" t="s">
        <v>347</v>
      </c>
      <c r="Z15" s="91" t="s">
        <v>361</v>
      </c>
    </row>
    <row r="16" spans="1:32" ht="43" customHeight="1" x14ac:dyDescent="0.35">
      <c r="A16" s="81" t="s">
        <v>337</v>
      </c>
      <c r="B16" s="82" t="s">
        <v>338</v>
      </c>
      <c r="C16" s="82" t="s">
        <v>351</v>
      </c>
      <c r="D16" s="97">
        <v>43231500</v>
      </c>
      <c r="E16" s="82" t="s">
        <v>356</v>
      </c>
      <c r="F16" s="82" t="s">
        <v>362</v>
      </c>
      <c r="G16" s="83" t="s">
        <v>48</v>
      </c>
      <c r="H16" s="83" t="s">
        <v>51</v>
      </c>
      <c r="I16" s="83">
        <v>24</v>
      </c>
      <c r="J16" s="84" t="s">
        <v>350</v>
      </c>
      <c r="K16" s="87">
        <v>64031908</v>
      </c>
      <c r="L16" s="86">
        <v>0.19</v>
      </c>
      <c r="M16" s="87">
        <f t="shared" si="0"/>
        <v>12166062.52</v>
      </c>
      <c r="N16" s="87">
        <f t="shared" si="1"/>
        <v>76197970.519999996</v>
      </c>
      <c r="O16" s="82" t="s">
        <v>358</v>
      </c>
      <c r="P16" s="82" t="s">
        <v>359</v>
      </c>
      <c r="Q16" s="94">
        <v>19853932</v>
      </c>
      <c r="R16" s="87">
        <v>37084077</v>
      </c>
      <c r="S16" s="87">
        <v>19259961</v>
      </c>
      <c r="T16" s="87">
        <v>0</v>
      </c>
      <c r="U16" s="82" t="s">
        <v>363</v>
      </c>
      <c r="V16" s="82"/>
      <c r="W16" s="96">
        <f t="shared" si="2"/>
        <v>16683976.470588235</v>
      </c>
      <c r="X16" s="91" t="s">
        <v>364</v>
      </c>
      <c r="Y16" s="91" t="s">
        <v>365</v>
      </c>
      <c r="Z16" s="91" t="s">
        <v>366</v>
      </c>
    </row>
    <row r="17" spans="1:26" ht="43" customHeight="1" x14ac:dyDescent="0.35">
      <c r="A17" s="81" t="s">
        <v>337</v>
      </c>
      <c r="B17" s="82" t="s">
        <v>338</v>
      </c>
      <c r="C17" s="82" t="s">
        <v>351</v>
      </c>
      <c r="D17" s="97">
        <v>43231500</v>
      </c>
      <c r="E17" s="82" t="s">
        <v>356</v>
      </c>
      <c r="F17" s="82" t="s">
        <v>367</v>
      </c>
      <c r="G17" s="83" t="s">
        <v>49</v>
      </c>
      <c r="H17" s="83" t="s">
        <v>50</v>
      </c>
      <c r="I17" s="83">
        <v>12</v>
      </c>
      <c r="J17" s="84" t="s">
        <v>350</v>
      </c>
      <c r="K17" s="87">
        <v>45600000</v>
      </c>
      <c r="L17" s="86">
        <v>0.19</v>
      </c>
      <c r="M17" s="87">
        <f t="shared" si="0"/>
        <v>8664000</v>
      </c>
      <c r="N17" s="87">
        <f t="shared" si="1"/>
        <v>54264000</v>
      </c>
      <c r="O17" s="82" t="s">
        <v>343</v>
      </c>
      <c r="P17" s="82" t="s">
        <v>344</v>
      </c>
      <c r="Q17" s="87">
        <f>+N17</f>
        <v>54264000</v>
      </c>
      <c r="R17" s="87">
        <v>0</v>
      </c>
      <c r="S17" s="87">
        <v>0</v>
      </c>
      <c r="T17" s="87">
        <v>0</v>
      </c>
      <c r="U17" s="82" t="s">
        <v>363</v>
      </c>
      <c r="V17" s="82" t="s">
        <v>368</v>
      </c>
      <c r="W17" s="96">
        <f t="shared" si="2"/>
        <v>45600000</v>
      </c>
      <c r="X17" s="91" t="s">
        <v>364</v>
      </c>
      <c r="Y17" s="91" t="s">
        <v>365</v>
      </c>
      <c r="Z17" s="91" t="s">
        <v>369</v>
      </c>
    </row>
    <row r="18" spans="1:26" ht="43" customHeight="1" x14ac:dyDescent="0.35">
      <c r="A18" s="81" t="s">
        <v>337</v>
      </c>
      <c r="B18" s="82" t="s">
        <v>338</v>
      </c>
      <c r="C18" s="82" t="s">
        <v>351</v>
      </c>
      <c r="D18" s="97">
        <v>43232300</v>
      </c>
      <c r="E18" s="82" t="s">
        <v>370</v>
      </c>
      <c r="F18" s="82" t="s">
        <v>371</v>
      </c>
      <c r="G18" s="83" t="s">
        <v>42</v>
      </c>
      <c r="H18" s="83" t="s">
        <v>42</v>
      </c>
      <c r="I18" s="83">
        <v>12</v>
      </c>
      <c r="J18" s="84" t="s">
        <v>350</v>
      </c>
      <c r="K18" s="87">
        <v>13287857</v>
      </c>
      <c r="L18" s="86">
        <v>0.19</v>
      </c>
      <c r="M18" s="87">
        <f t="shared" si="0"/>
        <v>2524692.83</v>
      </c>
      <c r="N18" s="87">
        <f t="shared" si="1"/>
        <v>15812549.83</v>
      </c>
      <c r="O18" s="82" t="s">
        <v>343</v>
      </c>
      <c r="P18" s="82" t="s">
        <v>344</v>
      </c>
      <c r="Q18" s="87">
        <v>15812550</v>
      </c>
      <c r="R18" s="87">
        <v>0</v>
      </c>
      <c r="S18" s="87">
        <v>0</v>
      </c>
      <c r="T18" s="87">
        <v>0</v>
      </c>
      <c r="U18" s="82" t="s">
        <v>360</v>
      </c>
      <c r="V18" s="82" t="s">
        <v>372</v>
      </c>
      <c r="W18" s="96">
        <f t="shared" si="2"/>
        <v>13287857.142857144</v>
      </c>
      <c r="X18" s="91" t="s">
        <v>373</v>
      </c>
      <c r="Y18" s="91" t="s">
        <v>373</v>
      </c>
      <c r="Z18" s="91" t="s">
        <v>374</v>
      </c>
    </row>
    <row r="19" spans="1:26" ht="43" customHeight="1" x14ac:dyDescent="0.35">
      <c r="A19" s="81" t="s">
        <v>337</v>
      </c>
      <c r="B19" s="82" t="s">
        <v>338</v>
      </c>
      <c r="C19" s="82" t="s">
        <v>351</v>
      </c>
      <c r="D19" s="97">
        <v>43232300</v>
      </c>
      <c r="E19" s="82" t="s">
        <v>370</v>
      </c>
      <c r="F19" s="99" t="s">
        <v>375</v>
      </c>
      <c r="G19" s="83" t="s">
        <v>51</v>
      </c>
      <c r="H19" s="83" t="s">
        <v>53</v>
      </c>
      <c r="I19" s="83">
        <v>12</v>
      </c>
      <c r="J19" s="84" t="s">
        <v>350</v>
      </c>
      <c r="K19" s="87">
        <v>18500000</v>
      </c>
      <c r="L19" s="86">
        <v>0.19</v>
      </c>
      <c r="M19" s="87">
        <f t="shared" si="0"/>
        <v>3515000</v>
      </c>
      <c r="N19" s="87">
        <f t="shared" si="1"/>
        <v>22015000</v>
      </c>
      <c r="O19" s="82" t="s">
        <v>343</v>
      </c>
      <c r="P19" s="82" t="s">
        <v>344</v>
      </c>
      <c r="Q19" s="87">
        <f>+N19</f>
        <v>22015000</v>
      </c>
      <c r="R19" s="87">
        <v>0</v>
      </c>
      <c r="S19" s="87">
        <v>0</v>
      </c>
      <c r="T19" s="87">
        <v>0</v>
      </c>
      <c r="U19" s="82" t="s">
        <v>360</v>
      </c>
      <c r="V19" s="82"/>
      <c r="W19" s="96">
        <f t="shared" si="2"/>
        <v>18500000</v>
      </c>
      <c r="X19" s="91" t="s">
        <v>373</v>
      </c>
      <c r="Y19" s="91" t="s">
        <v>373</v>
      </c>
      <c r="Z19" s="91" t="s">
        <v>374</v>
      </c>
    </row>
    <row r="20" spans="1:26" ht="43" customHeight="1" x14ac:dyDescent="0.35">
      <c r="A20" s="81" t="s">
        <v>337</v>
      </c>
      <c r="B20" s="82" t="s">
        <v>338</v>
      </c>
      <c r="C20" s="82" t="s">
        <v>351</v>
      </c>
      <c r="D20" s="97">
        <v>81112500</v>
      </c>
      <c r="E20" s="82" t="s">
        <v>376</v>
      </c>
      <c r="F20" s="82" t="s">
        <v>377</v>
      </c>
      <c r="G20" s="83" t="s">
        <v>42</v>
      </c>
      <c r="H20" s="83" t="s">
        <v>42</v>
      </c>
      <c r="I20" s="83">
        <v>24</v>
      </c>
      <c r="J20" s="84" t="s">
        <v>350</v>
      </c>
      <c r="K20" s="87">
        <v>222274251</v>
      </c>
      <c r="L20" s="86">
        <v>0.19</v>
      </c>
      <c r="M20" s="87">
        <f t="shared" si="0"/>
        <v>42232107.689999998</v>
      </c>
      <c r="N20" s="87">
        <f t="shared" si="1"/>
        <v>264506358.69</v>
      </c>
      <c r="O20" s="82" t="s">
        <v>358</v>
      </c>
      <c r="P20" s="82" t="s">
        <v>359</v>
      </c>
      <c r="Q20" s="94">
        <v>123605300</v>
      </c>
      <c r="R20" s="94">
        <v>140901058.69</v>
      </c>
      <c r="S20" s="87">
        <v>0</v>
      </c>
      <c r="T20" s="87">
        <v>0</v>
      </c>
      <c r="U20" s="82" t="s">
        <v>354</v>
      </c>
      <c r="V20" s="82"/>
      <c r="W20" s="96">
        <f t="shared" si="2"/>
        <v>103870000</v>
      </c>
      <c r="X20" s="91" t="s">
        <v>378</v>
      </c>
      <c r="Y20" s="91" t="s">
        <v>379</v>
      </c>
      <c r="Z20" s="91" t="s">
        <v>380</v>
      </c>
    </row>
    <row r="21" spans="1:26" ht="43" customHeight="1" x14ac:dyDescent="0.35">
      <c r="A21" s="81" t="s">
        <v>337</v>
      </c>
      <c r="B21" s="82" t="s">
        <v>338</v>
      </c>
      <c r="C21" s="82" t="s">
        <v>351</v>
      </c>
      <c r="D21" s="97">
        <v>43232300</v>
      </c>
      <c r="E21" s="82" t="s">
        <v>370</v>
      </c>
      <c r="F21" s="91" t="s">
        <v>381</v>
      </c>
      <c r="G21" s="83" t="s">
        <v>42</v>
      </c>
      <c r="H21" s="83" t="s">
        <v>43</v>
      </c>
      <c r="I21" s="83">
        <v>12</v>
      </c>
      <c r="J21" s="84" t="s">
        <v>350</v>
      </c>
      <c r="K21" s="87">
        <v>134964000</v>
      </c>
      <c r="L21" s="86">
        <v>0.19</v>
      </c>
      <c r="M21" s="87">
        <f t="shared" si="0"/>
        <v>25643160</v>
      </c>
      <c r="N21" s="87">
        <f t="shared" si="1"/>
        <v>160607160</v>
      </c>
      <c r="O21" s="82" t="s">
        <v>343</v>
      </c>
      <c r="P21" s="82" t="s">
        <v>344</v>
      </c>
      <c r="Q21" s="87">
        <v>160607160</v>
      </c>
      <c r="R21" s="87">
        <v>0</v>
      </c>
      <c r="S21" s="87">
        <v>0</v>
      </c>
      <c r="T21" s="87">
        <v>0</v>
      </c>
      <c r="U21" s="82" t="s">
        <v>382</v>
      </c>
      <c r="V21" s="82"/>
      <c r="W21" s="96">
        <f t="shared" si="2"/>
        <v>134964000</v>
      </c>
      <c r="X21" s="91" t="s">
        <v>383</v>
      </c>
      <c r="Y21" s="91" t="s">
        <v>383</v>
      </c>
      <c r="Z21" s="91" t="s">
        <v>384</v>
      </c>
    </row>
    <row r="22" spans="1:26" ht="43" customHeight="1" x14ac:dyDescent="0.35">
      <c r="A22" s="81" t="s">
        <v>337</v>
      </c>
      <c r="B22" s="82" t="s">
        <v>338</v>
      </c>
      <c r="C22" s="82" t="s">
        <v>351</v>
      </c>
      <c r="D22" s="93">
        <v>80101500</v>
      </c>
      <c r="E22" s="82" t="s">
        <v>340</v>
      </c>
      <c r="F22" s="82" t="s">
        <v>385</v>
      </c>
      <c r="G22" s="83" t="s">
        <v>42</v>
      </c>
      <c r="H22" s="83" t="s">
        <v>43</v>
      </c>
      <c r="I22" s="83">
        <v>5</v>
      </c>
      <c r="J22" s="84" t="s">
        <v>350</v>
      </c>
      <c r="K22" s="87">
        <v>36659000</v>
      </c>
      <c r="L22" s="86">
        <v>0.19</v>
      </c>
      <c r="M22" s="87">
        <f t="shared" si="0"/>
        <v>6965210</v>
      </c>
      <c r="N22" s="87">
        <f t="shared" si="1"/>
        <v>43624210</v>
      </c>
      <c r="O22" s="82" t="s">
        <v>343</v>
      </c>
      <c r="P22" s="82" t="s">
        <v>344</v>
      </c>
      <c r="Q22" s="87">
        <v>43624210</v>
      </c>
      <c r="R22" s="87">
        <v>0</v>
      </c>
      <c r="S22" s="87">
        <v>0</v>
      </c>
      <c r="T22" s="87">
        <v>0</v>
      </c>
      <c r="U22" s="82" t="s">
        <v>382</v>
      </c>
      <c r="V22" s="82"/>
      <c r="W22" s="96">
        <f t="shared" si="2"/>
        <v>36659000</v>
      </c>
      <c r="X22" s="91" t="s">
        <v>347</v>
      </c>
      <c r="Y22" s="91" t="s">
        <v>347</v>
      </c>
      <c r="Z22" s="91" t="s">
        <v>386</v>
      </c>
    </row>
    <row r="23" spans="1:26" ht="43" customHeight="1" x14ac:dyDescent="0.35">
      <c r="A23" s="81" t="s">
        <v>337</v>
      </c>
      <c r="B23" s="82" t="s">
        <v>338</v>
      </c>
      <c r="C23" s="82" t="s">
        <v>351</v>
      </c>
      <c r="D23" s="93">
        <v>80101500</v>
      </c>
      <c r="E23" s="82" t="s">
        <v>340</v>
      </c>
      <c r="F23" s="82" t="s">
        <v>387</v>
      </c>
      <c r="G23" s="83" t="s">
        <v>43</v>
      </c>
      <c r="H23" s="83" t="s">
        <v>44</v>
      </c>
      <c r="I23" s="83">
        <v>5</v>
      </c>
      <c r="J23" s="84" t="s">
        <v>350</v>
      </c>
      <c r="K23" s="87">
        <v>36659000</v>
      </c>
      <c r="L23" s="86">
        <v>0.19</v>
      </c>
      <c r="M23" s="87">
        <f t="shared" si="0"/>
        <v>6965210</v>
      </c>
      <c r="N23" s="87">
        <f t="shared" si="1"/>
        <v>43624210</v>
      </c>
      <c r="O23" s="82" t="s">
        <v>343</v>
      </c>
      <c r="P23" s="82" t="s">
        <v>344</v>
      </c>
      <c r="Q23" s="87">
        <v>43624210</v>
      </c>
      <c r="R23" s="87">
        <v>0</v>
      </c>
      <c r="S23" s="87">
        <v>0</v>
      </c>
      <c r="T23" s="87">
        <v>0</v>
      </c>
      <c r="U23" s="82" t="s">
        <v>360</v>
      </c>
      <c r="V23" s="82"/>
      <c r="W23" s="96">
        <f t="shared" si="2"/>
        <v>36659000</v>
      </c>
      <c r="X23" s="91" t="s">
        <v>347</v>
      </c>
      <c r="Y23" s="91" t="s">
        <v>347</v>
      </c>
      <c r="Z23" s="91" t="s">
        <v>386</v>
      </c>
    </row>
    <row r="24" spans="1:26" ht="43" customHeight="1" x14ac:dyDescent="0.35">
      <c r="A24" s="81" t="s">
        <v>337</v>
      </c>
      <c r="B24" s="82" t="s">
        <v>338</v>
      </c>
      <c r="C24" s="82" t="s">
        <v>351</v>
      </c>
      <c r="D24" s="93">
        <v>84121702</v>
      </c>
      <c r="E24" s="82" t="s">
        <v>388</v>
      </c>
      <c r="F24" s="82" t="s">
        <v>389</v>
      </c>
      <c r="G24" s="83" t="s">
        <v>50</v>
      </c>
      <c r="H24" s="83" t="s">
        <v>53</v>
      </c>
      <c r="I24" s="83">
        <v>24</v>
      </c>
      <c r="J24" s="84" t="s">
        <v>350</v>
      </c>
      <c r="K24" s="87">
        <v>264877666</v>
      </c>
      <c r="L24" s="86">
        <v>0.19</v>
      </c>
      <c r="M24" s="87">
        <f t="shared" si="0"/>
        <v>50326756.539999999</v>
      </c>
      <c r="N24" s="87">
        <f t="shared" si="1"/>
        <v>315204422.54000002</v>
      </c>
      <c r="O24" s="82" t="s">
        <v>358</v>
      </c>
      <c r="P24" s="82" t="s">
        <v>359</v>
      </c>
      <c r="Q24" s="87">
        <v>0</v>
      </c>
      <c r="R24" s="87">
        <v>135017471</v>
      </c>
      <c r="S24" s="87">
        <v>164966800</v>
      </c>
      <c r="T24" s="87">
        <v>15220151</v>
      </c>
      <c r="U24" s="82" t="s">
        <v>363</v>
      </c>
      <c r="V24" s="82" t="s">
        <v>390</v>
      </c>
      <c r="W24" s="96">
        <f t="shared" si="2"/>
        <v>0</v>
      </c>
      <c r="X24" s="91" t="s">
        <v>383</v>
      </c>
      <c r="Y24" s="91" t="s">
        <v>383</v>
      </c>
      <c r="Z24" s="91" t="s">
        <v>391</v>
      </c>
    </row>
    <row r="25" spans="1:26" ht="43" customHeight="1" x14ac:dyDescent="0.35">
      <c r="A25" s="81" t="s">
        <v>337</v>
      </c>
      <c r="B25" s="82" t="s">
        <v>338</v>
      </c>
      <c r="C25" s="82" t="s">
        <v>338</v>
      </c>
      <c r="D25" s="97">
        <v>80101500</v>
      </c>
      <c r="E25" s="82" t="s">
        <v>340</v>
      </c>
      <c r="F25" s="82" t="s">
        <v>392</v>
      </c>
      <c r="G25" s="93" t="s">
        <v>53</v>
      </c>
      <c r="H25" s="97" t="s">
        <v>53</v>
      </c>
      <c r="I25" s="97">
        <v>12</v>
      </c>
      <c r="J25" s="84" t="s">
        <v>350</v>
      </c>
      <c r="K25" s="87">
        <v>30219129</v>
      </c>
      <c r="L25" s="86">
        <v>0.19</v>
      </c>
      <c r="M25" s="87">
        <f t="shared" si="0"/>
        <v>5741634.5099999998</v>
      </c>
      <c r="N25" s="87">
        <f t="shared" si="1"/>
        <v>35960763.509999998</v>
      </c>
      <c r="O25" s="82" t="s">
        <v>343</v>
      </c>
      <c r="P25" s="82" t="s">
        <v>344</v>
      </c>
      <c r="Q25" s="87">
        <v>35960764</v>
      </c>
      <c r="R25" s="87"/>
      <c r="S25" s="87"/>
      <c r="T25" s="87"/>
      <c r="U25" s="82" t="s">
        <v>393</v>
      </c>
      <c r="V25" s="82"/>
      <c r="W25" s="96">
        <f t="shared" si="2"/>
        <v>30219129.411764707</v>
      </c>
      <c r="X25" s="91" t="s">
        <v>347</v>
      </c>
      <c r="Y25" s="91" t="s">
        <v>347</v>
      </c>
      <c r="Z25" s="91" t="s">
        <v>394</v>
      </c>
    </row>
    <row r="26" spans="1:26" ht="43" customHeight="1" x14ac:dyDescent="0.35">
      <c r="A26" s="81" t="s">
        <v>337</v>
      </c>
      <c r="B26" s="82" t="s">
        <v>395</v>
      </c>
      <c r="C26" s="82" t="s">
        <v>396</v>
      </c>
      <c r="D26" s="83">
        <v>76121501</v>
      </c>
      <c r="E26" s="82" t="s">
        <v>397</v>
      </c>
      <c r="F26" s="82" t="s">
        <v>397</v>
      </c>
      <c r="G26" s="83" t="s">
        <v>48</v>
      </c>
      <c r="H26" s="83" t="s">
        <v>48</v>
      </c>
      <c r="I26" s="83">
        <v>12</v>
      </c>
      <c r="J26" s="100" t="s">
        <v>350</v>
      </c>
      <c r="K26" s="101">
        <v>45000000</v>
      </c>
      <c r="L26" s="102">
        <v>0.19</v>
      </c>
      <c r="M26" s="87">
        <f t="shared" si="0"/>
        <v>8550000</v>
      </c>
      <c r="N26" s="87">
        <f t="shared" si="1"/>
        <v>53550000</v>
      </c>
      <c r="O26" s="82" t="s">
        <v>343</v>
      </c>
      <c r="P26" s="82" t="s">
        <v>344</v>
      </c>
      <c r="Q26" s="101">
        <v>53550000</v>
      </c>
      <c r="R26" s="96">
        <v>0</v>
      </c>
      <c r="S26" s="96">
        <v>0</v>
      </c>
      <c r="T26" s="96">
        <v>0</v>
      </c>
      <c r="U26" s="82" t="s">
        <v>398</v>
      </c>
      <c r="V26" s="82" t="s">
        <v>397</v>
      </c>
      <c r="W26" s="103">
        <f t="shared" si="2"/>
        <v>45000000</v>
      </c>
      <c r="X26" s="104" t="s">
        <v>399</v>
      </c>
      <c r="Y26" s="104" t="s">
        <v>399</v>
      </c>
      <c r="Z26" s="104" t="s">
        <v>400</v>
      </c>
    </row>
    <row r="27" spans="1:26" ht="43" customHeight="1" x14ac:dyDescent="0.35">
      <c r="A27" s="81" t="s">
        <v>337</v>
      </c>
      <c r="B27" s="82" t="s">
        <v>395</v>
      </c>
      <c r="C27" s="82" t="s">
        <v>396</v>
      </c>
      <c r="D27" s="83">
        <v>81101600</v>
      </c>
      <c r="E27" s="82" t="s">
        <v>401</v>
      </c>
      <c r="F27" s="82" t="s">
        <v>402</v>
      </c>
      <c r="G27" s="83" t="s">
        <v>44</v>
      </c>
      <c r="H27" s="83" t="s">
        <v>44</v>
      </c>
      <c r="I27" s="83">
        <v>36</v>
      </c>
      <c r="J27" s="83" t="s">
        <v>403</v>
      </c>
      <c r="K27" s="101">
        <v>5800538733.6134453</v>
      </c>
      <c r="L27" s="102">
        <v>0.19</v>
      </c>
      <c r="M27" s="87">
        <f t="shared" si="0"/>
        <v>1102102359.3865547</v>
      </c>
      <c r="N27" s="87">
        <f t="shared" si="1"/>
        <v>6902641093</v>
      </c>
      <c r="O27" s="82" t="s">
        <v>358</v>
      </c>
      <c r="P27" s="82" t="s">
        <v>359</v>
      </c>
      <c r="Q27" s="101">
        <v>1992947033</v>
      </c>
      <c r="R27" s="96">
        <v>2170083366</v>
      </c>
      <c r="S27" s="96">
        <v>2324593303</v>
      </c>
      <c r="T27" s="96">
        <v>415017391</v>
      </c>
      <c r="U27" s="82" t="s">
        <v>404</v>
      </c>
      <c r="V27" s="82" t="s">
        <v>405</v>
      </c>
      <c r="W27" s="103">
        <f t="shared" si="2"/>
        <v>1674745405.8823531</v>
      </c>
      <c r="X27" s="104" t="s">
        <v>406</v>
      </c>
      <c r="Y27" s="104" t="s">
        <v>407</v>
      </c>
      <c r="Z27" s="104" t="s">
        <v>408</v>
      </c>
    </row>
    <row r="28" spans="1:26" ht="43" customHeight="1" x14ac:dyDescent="0.35">
      <c r="A28" s="81" t="s">
        <v>337</v>
      </c>
      <c r="B28" s="82" t="s">
        <v>395</v>
      </c>
      <c r="C28" s="82" t="s">
        <v>396</v>
      </c>
      <c r="D28" s="83">
        <v>81111700</v>
      </c>
      <c r="E28" s="82" t="s">
        <v>409</v>
      </c>
      <c r="F28" s="82" t="s">
        <v>410</v>
      </c>
      <c r="G28" s="83" t="s">
        <v>48</v>
      </c>
      <c r="H28" s="83" t="s">
        <v>48</v>
      </c>
      <c r="I28" s="83">
        <v>24</v>
      </c>
      <c r="J28" s="83" t="s">
        <v>350</v>
      </c>
      <c r="K28" s="101">
        <v>640543200</v>
      </c>
      <c r="L28" s="102">
        <v>0.19</v>
      </c>
      <c r="M28" s="87">
        <f t="shared" si="0"/>
        <v>121703208</v>
      </c>
      <c r="N28" s="87">
        <f t="shared" si="1"/>
        <v>762246408</v>
      </c>
      <c r="O28" s="82" t="s">
        <v>358</v>
      </c>
      <c r="P28" s="82" t="s">
        <v>359</v>
      </c>
      <c r="Q28" s="101">
        <v>363171816</v>
      </c>
      <c r="R28" s="96">
        <v>195441792</v>
      </c>
      <c r="S28" s="96">
        <v>0</v>
      </c>
      <c r="T28" s="96">
        <v>0</v>
      </c>
      <c r="U28" s="82" t="s">
        <v>404</v>
      </c>
      <c r="V28" s="82" t="s">
        <v>411</v>
      </c>
      <c r="W28" s="103">
        <f t="shared" si="2"/>
        <v>305186400</v>
      </c>
      <c r="X28" s="104" t="s">
        <v>406</v>
      </c>
      <c r="Y28" s="104" t="s">
        <v>407</v>
      </c>
      <c r="Z28" s="104" t="s">
        <v>412</v>
      </c>
    </row>
    <row r="29" spans="1:26" ht="43" customHeight="1" x14ac:dyDescent="0.35">
      <c r="A29" s="81" t="s">
        <v>337</v>
      </c>
      <c r="B29" s="82" t="s">
        <v>395</v>
      </c>
      <c r="C29" s="82" t="s">
        <v>396</v>
      </c>
      <c r="D29" s="83">
        <v>95141706</v>
      </c>
      <c r="E29" s="82" t="s">
        <v>413</v>
      </c>
      <c r="F29" s="82" t="s">
        <v>414</v>
      </c>
      <c r="G29" s="83" t="s">
        <v>43</v>
      </c>
      <c r="H29" s="83" t="s">
        <v>43</v>
      </c>
      <c r="I29" s="83">
        <v>36</v>
      </c>
      <c r="J29" s="83" t="s">
        <v>403</v>
      </c>
      <c r="K29" s="101">
        <v>1647584045.3781514</v>
      </c>
      <c r="L29" s="102">
        <v>0.19</v>
      </c>
      <c r="M29" s="87">
        <f t="shared" si="0"/>
        <v>313040968.62184876</v>
      </c>
      <c r="N29" s="87">
        <f t="shared" si="1"/>
        <v>1960625014.0000002</v>
      </c>
      <c r="O29" s="82" t="s">
        <v>358</v>
      </c>
      <c r="P29" s="82" t="s">
        <v>359</v>
      </c>
      <c r="Q29" s="101">
        <v>533797110</v>
      </c>
      <c r="R29" s="96">
        <v>627458240</v>
      </c>
      <c r="S29" s="96">
        <v>672103444</v>
      </c>
      <c r="T29" s="96">
        <v>57779740</v>
      </c>
      <c r="U29" s="82" t="s">
        <v>404</v>
      </c>
      <c r="V29" s="82" t="s">
        <v>415</v>
      </c>
      <c r="W29" s="103">
        <v>448569000</v>
      </c>
      <c r="X29" s="104" t="s">
        <v>406</v>
      </c>
      <c r="Y29" s="104" t="s">
        <v>407</v>
      </c>
      <c r="Z29" s="104" t="s">
        <v>407</v>
      </c>
    </row>
    <row r="30" spans="1:26" ht="43" customHeight="1" x14ac:dyDescent="0.35">
      <c r="A30" s="81" t="s">
        <v>337</v>
      </c>
      <c r="B30" s="82" t="s">
        <v>395</v>
      </c>
      <c r="C30" s="82" t="s">
        <v>396</v>
      </c>
      <c r="D30" s="83">
        <v>80161702</v>
      </c>
      <c r="E30" s="82" t="s">
        <v>416</v>
      </c>
      <c r="F30" s="82" t="s">
        <v>417</v>
      </c>
      <c r="G30" s="83" t="s">
        <v>45</v>
      </c>
      <c r="H30" s="83" t="s">
        <v>45</v>
      </c>
      <c r="I30" s="83">
        <v>36</v>
      </c>
      <c r="J30" s="100" t="s">
        <v>350</v>
      </c>
      <c r="K30" s="101">
        <v>45000000</v>
      </c>
      <c r="L30" s="102">
        <v>0.19</v>
      </c>
      <c r="M30" s="87">
        <f t="shared" si="0"/>
        <v>8550000</v>
      </c>
      <c r="N30" s="87">
        <f t="shared" si="1"/>
        <v>53550000</v>
      </c>
      <c r="O30" s="82" t="s">
        <v>343</v>
      </c>
      <c r="P30" s="82" t="s">
        <v>344</v>
      </c>
      <c r="Q30" s="101">
        <v>53550000</v>
      </c>
      <c r="R30" s="96">
        <v>0</v>
      </c>
      <c r="S30" s="96">
        <v>0</v>
      </c>
      <c r="T30" s="96">
        <v>0</v>
      </c>
      <c r="U30" s="82" t="s">
        <v>404</v>
      </c>
      <c r="V30" s="82" t="s">
        <v>418</v>
      </c>
      <c r="W30" s="103">
        <f t="shared" ref="W30:W45" si="3">+Q30/1.19</f>
        <v>45000000</v>
      </c>
      <c r="X30" s="104" t="s">
        <v>399</v>
      </c>
      <c r="Y30" s="104" t="s">
        <v>399</v>
      </c>
      <c r="Z30" s="104" t="s">
        <v>400</v>
      </c>
    </row>
    <row r="31" spans="1:26" ht="43" customHeight="1" x14ac:dyDescent="0.35">
      <c r="A31" s="81" t="s">
        <v>337</v>
      </c>
      <c r="B31" s="82" t="s">
        <v>395</v>
      </c>
      <c r="C31" s="82" t="s">
        <v>419</v>
      </c>
      <c r="D31" s="83">
        <v>80101510</v>
      </c>
      <c r="E31" s="82" t="s">
        <v>420</v>
      </c>
      <c r="F31" s="82" t="s">
        <v>421</v>
      </c>
      <c r="G31" s="83" t="s">
        <v>48</v>
      </c>
      <c r="H31" s="83" t="s">
        <v>49</v>
      </c>
      <c r="I31" s="83">
        <v>12</v>
      </c>
      <c r="J31" s="83" t="s">
        <v>350</v>
      </c>
      <c r="K31" s="101">
        <v>3743697479</v>
      </c>
      <c r="L31" s="102">
        <v>0.19</v>
      </c>
      <c r="M31" s="87">
        <f t="shared" si="0"/>
        <v>711302521.00999999</v>
      </c>
      <c r="N31" s="87">
        <f t="shared" si="1"/>
        <v>4455000000.0100002</v>
      </c>
      <c r="O31" s="82" t="s">
        <v>343</v>
      </c>
      <c r="P31" s="82" t="s">
        <v>344</v>
      </c>
      <c r="Q31" s="101">
        <v>4455000000</v>
      </c>
      <c r="R31" s="101">
        <v>0</v>
      </c>
      <c r="S31" s="101">
        <v>0</v>
      </c>
      <c r="T31" s="101">
        <v>0</v>
      </c>
      <c r="U31" s="82" t="s">
        <v>422</v>
      </c>
      <c r="V31" s="82" t="s">
        <v>423</v>
      </c>
      <c r="W31" s="103">
        <f t="shared" si="3"/>
        <v>3743697478.9915967</v>
      </c>
      <c r="X31" s="91" t="s">
        <v>424</v>
      </c>
      <c r="Y31" s="91" t="s">
        <v>424</v>
      </c>
      <c r="Z31" s="91" t="s">
        <v>424</v>
      </c>
    </row>
    <row r="32" spans="1:26" ht="43" customHeight="1" x14ac:dyDescent="0.35">
      <c r="A32" s="81" t="s">
        <v>337</v>
      </c>
      <c r="B32" s="82" t="s">
        <v>395</v>
      </c>
      <c r="C32" s="82" t="s">
        <v>425</v>
      </c>
      <c r="D32" s="83">
        <v>85122201</v>
      </c>
      <c r="E32" s="82" t="s">
        <v>426</v>
      </c>
      <c r="F32" s="82" t="s">
        <v>427</v>
      </c>
      <c r="G32" s="83" t="s">
        <v>49</v>
      </c>
      <c r="H32" s="83" t="s">
        <v>50</v>
      </c>
      <c r="I32" s="83">
        <v>24</v>
      </c>
      <c r="J32" s="84" t="s">
        <v>350</v>
      </c>
      <c r="K32" s="101">
        <v>1000000000</v>
      </c>
      <c r="L32" s="102">
        <v>0</v>
      </c>
      <c r="M32" s="87">
        <f t="shared" si="0"/>
        <v>0</v>
      </c>
      <c r="N32" s="87">
        <f t="shared" si="1"/>
        <v>1000000000</v>
      </c>
      <c r="O32" s="82" t="s">
        <v>343</v>
      </c>
      <c r="P32" s="82" t="s">
        <v>344</v>
      </c>
      <c r="Q32" s="101">
        <v>1000000000</v>
      </c>
      <c r="R32" s="101">
        <v>0</v>
      </c>
      <c r="S32" s="101">
        <v>0</v>
      </c>
      <c r="T32" s="101">
        <v>0</v>
      </c>
      <c r="U32" s="82" t="s">
        <v>428</v>
      </c>
      <c r="V32" s="82"/>
      <c r="W32" s="103">
        <f t="shared" si="3"/>
        <v>840336134.4537816</v>
      </c>
      <c r="X32" s="91" t="s">
        <v>429</v>
      </c>
      <c r="Y32" s="91" t="s">
        <v>429</v>
      </c>
      <c r="Z32" s="91" t="s">
        <v>429</v>
      </c>
    </row>
    <row r="33" spans="1:26" ht="43" customHeight="1" x14ac:dyDescent="0.35">
      <c r="A33" s="81" t="s">
        <v>337</v>
      </c>
      <c r="B33" s="82" t="s">
        <v>430</v>
      </c>
      <c r="C33" s="82" t="s">
        <v>181</v>
      </c>
      <c r="D33" s="105" t="s">
        <v>431</v>
      </c>
      <c r="E33" s="82" t="s">
        <v>432</v>
      </c>
      <c r="F33" s="82" t="s">
        <v>433</v>
      </c>
      <c r="G33" s="83" t="s">
        <v>44</v>
      </c>
      <c r="H33" s="83" t="s">
        <v>50</v>
      </c>
      <c r="I33" s="83">
        <v>24</v>
      </c>
      <c r="J33" s="84" t="s">
        <v>350</v>
      </c>
      <c r="K33" s="87">
        <v>840000000</v>
      </c>
      <c r="L33" s="86">
        <v>0.19</v>
      </c>
      <c r="M33" s="87">
        <f t="shared" si="0"/>
        <v>159600000</v>
      </c>
      <c r="N33" s="87">
        <f t="shared" si="1"/>
        <v>999600000</v>
      </c>
      <c r="O33" s="82" t="s">
        <v>358</v>
      </c>
      <c r="P33" s="82" t="s">
        <v>359</v>
      </c>
      <c r="Q33" s="87">
        <f>35000000*12*1.19</f>
        <v>499800000</v>
      </c>
      <c r="R33" s="87">
        <v>499800000</v>
      </c>
      <c r="S33" s="87"/>
      <c r="T33" s="87"/>
      <c r="U33" s="82" t="s">
        <v>434</v>
      </c>
      <c r="V33" s="82"/>
      <c r="W33" s="96">
        <f t="shared" si="3"/>
        <v>420000000</v>
      </c>
      <c r="X33" s="104" t="s">
        <v>383</v>
      </c>
      <c r="Y33" s="104" t="s">
        <v>383</v>
      </c>
      <c r="Z33" s="104" t="s">
        <v>435</v>
      </c>
    </row>
    <row r="34" spans="1:26" ht="43" customHeight="1" x14ac:dyDescent="0.35">
      <c r="A34" s="81" t="s">
        <v>337</v>
      </c>
      <c r="B34" s="82" t="s">
        <v>430</v>
      </c>
      <c r="C34" s="82" t="s">
        <v>180</v>
      </c>
      <c r="D34" s="105">
        <v>84101501</v>
      </c>
      <c r="E34" s="82" t="s">
        <v>436</v>
      </c>
      <c r="F34" s="82" t="s">
        <v>437</v>
      </c>
      <c r="G34" s="83" t="s">
        <v>48</v>
      </c>
      <c r="H34" s="83" t="s">
        <v>48</v>
      </c>
      <c r="I34" s="83">
        <v>6</v>
      </c>
      <c r="J34" s="84" t="s">
        <v>350</v>
      </c>
      <c r="K34" s="87">
        <v>45600000</v>
      </c>
      <c r="L34" s="86">
        <v>0.19</v>
      </c>
      <c r="M34" s="87">
        <f t="shared" si="0"/>
        <v>8664000</v>
      </c>
      <c r="N34" s="87">
        <f t="shared" si="1"/>
        <v>54264000</v>
      </c>
      <c r="O34" s="82" t="s">
        <v>343</v>
      </c>
      <c r="P34" s="82" t="s">
        <v>344</v>
      </c>
      <c r="Q34" s="87">
        <v>54264000</v>
      </c>
      <c r="R34" s="87">
        <v>0</v>
      </c>
      <c r="S34" s="87">
        <v>0</v>
      </c>
      <c r="T34" s="87">
        <v>0</v>
      </c>
      <c r="U34" s="82" t="s">
        <v>438</v>
      </c>
      <c r="V34" s="82"/>
      <c r="W34" s="96">
        <f t="shared" si="3"/>
        <v>45600000</v>
      </c>
      <c r="X34" s="104" t="s">
        <v>347</v>
      </c>
      <c r="Y34" s="104" t="s">
        <v>347</v>
      </c>
      <c r="Z34" s="104" t="s">
        <v>439</v>
      </c>
    </row>
    <row r="35" spans="1:26" ht="43" customHeight="1" x14ac:dyDescent="0.35">
      <c r="A35" s="81" t="s">
        <v>337</v>
      </c>
      <c r="B35" s="82" t="s">
        <v>430</v>
      </c>
      <c r="C35" s="82" t="s">
        <v>440</v>
      </c>
      <c r="D35" s="105">
        <v>84121701</v>
      </c>
      <c r="E35" s="82" t="s">
        <v>441</v>
      </c>
      <c r="F35" s="82" t="s">
        <v>442</v>
      </c>
      <c r="G35" s="83" t="s">
        <v>43</v>
      </c>
      <c r="H35" s="83" t="s">
        <v>43</v>
      </c>
      <c r="I35" s="83">
        <v>12</v>
      </c>
      <c r="J35" s="100" t="s">
        <v>350</v>
      </c>
      <c r="K35" s="87">
        <v>6000000</v>
      </c>
      <c r="L35" s="102">
        <v>0</v>
      </c>
      <c r="M35" s="87">
        <f t="shared" si="0"/>
        <v>0</v>
      </c>
      <c r="N35" s="87">
        <f t="shared" si="1"/>
        <v>6000000</v>
      </c>
      <c r="O35" s="82" t="s">
        <v>343</v>
      </c>
      <c r="P35" s="82" t="s">
        <v>344</v>
      </c>
      <c r="Q35" s="87">
        <v>6000000</v>
      </c>
      <c r="R35" s="87" t="s">
        <v>443</v>
      </c>
      <c r="S35" s="87"/>
      <c r="T35" s="87"/>
      <c r="U35" s="82" t="s">
        <v>444</v>
      </c>
      <c r="V35" s="82"/>
      <c r="W35" s="96">
        <f t="shared" si="3"/>
        <v>5042016.8067226894</v>
      </c>
      <c r="X35" s="106" t="s">
        <v>445</v>
      </c>
      <c r="Y35" s="106" t="s">
        <v>383</v>
      </c>
      <c r="Z35" s="106" t="s">
        <v>446</v>
      </c>
    </row>
    <row r="36" spans="1:26" ht="43" customHeight="1" x14ac:dyDescent="0.35">
      <c r="A36" s="81" t="s">
        <v>337</v>
      </c>
      <c r="B36" s="82" t="s">
        <v>430</v>
      </c>
      <c r="C36" s="82" t="s">
        <v>440</v>
      </c>
      <c r="D36" s="105">
        <v>84121704</v>
      </c>
      <c r="E36" s="82" t="s">
        <v>447</v>
      </c>
      <c r="F36" s="82" t="s">
        <v>448</v>
      </c>
      <c r="G36" s="83" t="s">
        <v>44</v>
      </c>
      <c r="H36" s="83" t="s">
        <v>44</v>
      </c>
      <c r="I36" s="83">
        <v>12</v>
      </c>
      <c r="J36" s="100" t="s">
        <v>350</v>
      </c>
      <c r="K36" s="87">
        <v>16250000</v>
      </c>
      <c r="L36" s="102">
        <v>0.19</v>
      </c>
      <c r="M36" s="87">
        <v>3087500</v>
      </c>
      <c r="N36" s="87">
        <f t="shared" si="1"/>
        <v>19337500</v>
      </c>
      <c r="O36" s="82" t="s">
        <v>358</v>
      </c>
      <c r="P36" s="82" t="s">
        <v>359</v>
      </c>
      <c r="Q36" s="87">
        <v>10829000</v>
      </c>
      <c r="R36" s="87" t="s">
        <v>443</v>
      </c>
      <c r="S36" s="87"/>
      <c r="T36" s="87"/>
      <c r="U36" s="82" t="s">
        <v>444</v>
      </c>
      <c r="V36" s="82"/>
      <c r="W36" s="96">
        <f t="shared" si="3"/>
        <v>9100000</v>
      </c>
      <c r="X36" s="104" t="s">
        <v>383</v>
      </c>
      <c r="Y36" s="104" t="s">
        <v>383</v>
      </c>
      <c r="Z36" s="104" t="s">
        <v>449</v>
      </c>
    </row>
    <row r="37" spans="1:26" ht="43" customHeight="1" x14ac:dyDescent="0.35">
      <c r="A37" s="81" t="s">
        <v>337</v>
      </c>
      <c r="B37" s="82" t="s">
        <v>430</v>
      </c>
      <c r="C37" s="82" t="s">
        <v>440</v>
      </c>
      <c r="D37" s="105">
        <v>84121704</v>
      </c>
      <c r="E37" s="82" t="s">
        <v>447</v>
      </c>
      <c r="F37" s="82" t="s">
        <v>450</v>
      </c>
      <c r="G37" s="83" t="s">
        <v>47</v>
      </c>
      <c r="H37" s="83" t="s">
        <v>47</v>
      </c>
      <c r="I37" s="83">
        <v>12</v>
      </c>
      <c r="J37" s="100" t="s">
        <v>350</v>
      </c>
      <c r="K37" s="87">
        <v>1772300</v>
      </c>
      <c r="L37" s="102">
        <v>0.19</v>
      </c>
      <c r="M37" s="87">
        <v>247000</v>
      </c>
      <c r="N37" s="87">
        <f t="shared" si="1"/>
        <v>2019300</v>
      </c>
      <c r="O37" s="82" t="s">
        <v>343</v>
      </c>
      <c r="P37" s="82" t="s">
        <v>344</v>
      </c>
      <c r="Q37" s="87">
        <v>2019300</v>
      </c>
      <c r="R37" s="87" t="s">
        <v>443</v>
      </c>
      <c r="S37" s="87"/>
      <c r="T37" s="87"/>
      <c r="U37" s="82" t="s">
        <v>444</v>
      </c>
      <c r="V37" s="82" t="s">
        <v>451</v>
      </c>
      <c r="W37" s="96">
        <f t="shared" si="3"/>
        <v>1696890.7563025211</v>
      </c>
      <c r="X37" s="104" t="s">
        <v>383</v>
      </c>
      <c r="Y37" s="104" t="s">
        <v>383</v>
      </c>
      <c r="Z37" s="104" t="s">
        <v>449</v>
      </c>
    </row>
    <row r="38" spans="1:26" ht="43" customHeight="1" x14ac:dyDescent="0.35">
      <c r="A38" s="81" t="s">
        <v>337</v>
      </c>
      <c r="B38" s="82" t="s">
        <v>430</v>
      </c>
      <c r="C38" s="82" t="s">
        <v>440</v>
      </c>
      <c r="D38" s="105">
        <v>84121806</v>
      </c>
      <c r="E38" s="82" t="s">
        <v>452</v>
      </c>
      <c r="F38" s="82" t="s">
        <v>453</v>
      </c>
      <c r="G38" s="83" t="s">
        <v>48</v>
      </c>
      <c r="H38" s="83" t="s">
        <v>49</v>
      </c>
      <c r="I38" s="83">
        <v>36</v>
      </c>
      <c r="J38" s="83" t="s">
        <v>350</v>
      </c>
      <c r="K38" s="87">
        <v>1127231117</v>
      </c>
      <c r="L38" s="102">
        <v>0.19</v>
      </c>
      <c r="M38" s="87">
        <v>214173912</v>
      </c>
      <c r="N38" s="87">
        <f t="shared" si="1"/>
        <v>1341405029</v>
      </c>
      <c r="O38" s="82" t="s">
        <v>358</v>
      </c>
      <c r="P38" s="82" t="s">
        <v>359</v>
      </c>
      <c r="Q38" s="87">
        <v>98499554.649999991</v>
      </c>
      <c r="R38" s="87">
        <v>428496342.93823504</v>
      </c>
      <c r="S38" s="87">
        <v>444223162.58823526</v>
      </c>
      <c r="T38" s="87">
        <v>370185968.82352942</v>
      </c>
      <c r="U38" s="82" t="s">
        <v>444</v>
      </c>
      <c r="V38" s="82" t="s">
        <v>454</v>
      </c>
      <c r="W38" s="96">
        <f t="shared" si="3"/>
        <v>82772735</v>
      </c>
      <c r="X38" s="104" t="s">
        <v>383</v>
      </c>
      <c r="Y38" s="104" t="s">
        <v>383</v>
      </c>
      <c r="Z38" s="104" t="s">
        <v>455</v>
      </c>
    </row>
    <row r="39" spans="1:26" ht="43" customHeight="1" x14ac:dyDescent="0.35">
      <c r="A39" s="81" t="s">
        <v>337</v>
      </c>
      <c r="B39" s="82" t="s">
        <v>430</v>
      </c>
      <c r="C39" s="82" t="s">
        <v>440</v>
      </c>
      <c r="D39" s="105" t="s">
        <v>456</v>
      </c>
      <c r="E39" s="82" t="s">
        <v>452</v>
      </c>
      <c r="F39" s="82" t="s">
        <v>457</v>
      </c>
      <c r="G39" s="83" t="s">
        <v>48</v>
      </c>
      <c r="H39" s="83" t="s">
        <v>49</v>
      </c>
      <c r="I39" s="83">
        <v>36</v>
      </c>
      <c r="J39" s="83" t="s">
        <v>350</v>
      </c>
      <c r="K39" s="87">
        <v>154456345</v>
      </c>
      <c r="L39" s="102">
        <v>0</v>
      </c>
      <c r="M39" s="87">
        <v>0</v>
      </c>
      <c r="N39" s="87">
        <f t="shared" si="1"/>
        <v>154456345</v>
      </c>
      <c r="O39" s="82" t="s">
        <v>358</v>
      </c>
      <c r="P39" s="82" t="s">
        <v>359</v>
      </c>
      <c r="Q39" s="87">
        <v>9520000</v>
      </c>
      <c r="R39" s="87">
        <v>49948381.1764706</v>
      </c>
      <c r="S39" s="87">
        <v>52097646.176470593</v>
      </c>
      <c r="T39" s="87">
        <v>42890317.647058822</v>
      </c>
      <c r="U39" s="82" t="s">
        <v>444</v>
      </c>
      <c r="V39" s="82" t="s">
        <v>454</v>
      </c>
      <c r="W39" s="96">
        <f t="shared" si="3"/>
        <v>8000000</v>
      </c>
      <c r="X39" s="104" t="s">
        <v>383</v>
      </c>
      <c r="Y39" s="104" t="s">
        <v>383</v>
      </c>
      <c r="Z39" s="104" t="s">
        <v>455</v>
      </c>
    </row>
    <row r="40" spans="1:26" ht="43" customHeight="1" x14ac:dyDescent="0.35">
      <c r="A40" s="81" t="s">
        <v>337</v>
      </c>
      <c r="B40" s="82" t="s">
        <v>430</v>
      </c>
      <c r="C40" s="82" t="s">
        <v>440</v>
      </c>
      <c r="D40" s="105">
        <v>84121702</v>
      </c>
      <c r="E40" s="107" t="s">
        <v>388</v>
      </c>
      <c r="F40" s="82" t="s">
        <v>458</v>
      </c>
      <c r="G40" s="83" t="s">
        <v>50</v>
      </c>
      <c r="H40" s="83" t="s">
        <v>50</v>
      </c>
      <c r="I40" s="83">
        <v>24</v>
      </c>
      <c r="J40" s="83" t="s">
        <v>350</v>
      </c>
      <c r="K40" s="87">
        <v>272124036</v>
      </c>
      <c r="L40" s="102">
        <v>0.19</v>
      </c>
      <c r="M40" s="87">
        <v>51703567</v>
      </c>
      <c r="N40" s="87">
        <f t="shared" si="1"/>
        <v>323827603</v>
      </c>
      <c r="O40" s="82" t="s">
        <v>358</v>
      </c>
      <c r="P40" s="82" t="s">
        <v>359</v>
      </c>
      <c r="Q40" s="87">
        <v>0</v>
      </c>
      <c r="R40" s="87">
        <v>148420984.70833299</v>
      </c>
      <c r="S40" s="87">
        <v>161913801.5</v>
      </c>
      <c r="T40" s="87">
        <v>13492816.791666666</v>
      </c>
      <c r="U40" s="82" t="s">
        <v>444</v>
      </c>
      <c r="V40" s="82" t="s">
        <v>459</v>
      </c>
      <c r="W40" s="96">
        <f t="shared" si="3"/>
        <v>0</v>
      </c>
      <c r="X40" s="104" t="s">
        <v>383</v>
      </c>
      <c r="Y40" s="104" t="s">
        <v>383</v>
      </c>
      <c r="Z40" s="104" t="s">
        <v>460</v>
      </c>
    </row>
    <row r="41" spans="1:26" ht="43" customHeight="1" x14ac:dyDescent="0.35">
      <c r="A41" s="81" t="s">
        <v>337</v>
      </c>
      <c r="B41" s="82" t="s">
        <v>430</v>
      </c>
      <c r="C41" s="82" t="s">
        <v>461</v>
      </c>
      <c r="D41" s="105">
        <v>94101610</v>
      </c>
      <c r="E41" s="82" t="s">
        <v>462</v>
      </c>
      <c r="F41" s="82" t="s">
        <v>463</v>
      </c>
      <c r="G41" s="83" t="s">
        <v>45</v>
      </c>
      <c r="H41" s="83" t="s">
        <v>46</v>
      </c>
      <c r="I41" s="83">
        <v>12</v>
      </c>
      <c r="J41" s="100" t="s">
        <v>350</v>
      </c>
      <c r="K41" s="87">
        <v>3197327</v>
      </c>
      <c r="L41" s="102">
        <v>0.19</v>
      </c>
      <c r="M41" s="87">
        <f>+K41*L41</f>
        <v>607492.13</v>
      </c>
      <c r="N41" s="87">
        <f t="shared" si="1"/>
        <v>3804819.13</v>
      </c>
      <c r="O41" s="82" t="s">
        <v>343</v>
      </c>
      <c r="P41" s="82" t="s">
        <v>344</v>
      </c>
      <c r="Q41" s="87">
        <v>3804819</v>
      </c>
      <c r="R41" s="87">
        <v>0</v>
      </c>
      <c r="S41" s="87">
        <v>0</v>
      </c>
      <c r="T41" s="87">
        <v>0</v>
      </c>
      <c r="U41" s="82" t="s">
        <v>464</v>
      </c>
      <c r="V41" s="82"/>
      <c r="W41" s="96">
        <f t="shared" si="3"/>
        <v>3197326.8907563025</v>
      </c>
      <c r="X41" s="104" t="s">
        <v>373</v>
      </c>
      <c r="Y41" s="104" t="s">
        <v>373</v>
      </c>
      <c r="Z41" s="104" t="s">
        <v>465</v>
      </c>
    </row>
    <row r="42" spans="1:26" ht="43" customHeight="1" x14ac:dyDescent="0.35">
      <c r="A42" s="81" t="s">
        <v>337</v>
      </c>
      <c r="B42" s="82" t="s">
        <v>430</v>
      </c>
      <c r="C42" s="82" t="s">
        <v>466</v>
      </c>
      <c r="D42" s="105">
        <v>80101505</v>
      </c>
      <c r="E42" s="82" t="s">
        <v>467</v>
      </c>
      <c r="F42" s="82" t="s">
        <v>468</v>
      </c>
      <c r="G42" s="83" t="s">
        <v>48</v>
      </c>
      <c r="H42" s="83" t="s">
        <v>51</v>
      </c>
      <c r="I42" s="83">
        <v>36</v>
      </c>
      <c r="J42" s="83" t="s">
        <v>342</v>
      </c>
      <c r="K42" s="87">
        <v>294000000</v>
      </c>
      <c r="L42" s="102">
        <v>0.19</v>
      </c>
      <c r="M42" s="87">
        <f>+K42*L42</f>
        <v>55860000</v>
      </c>
      <c r="N42" s="87">
        <f t="shared" si="1"/>
        <v>349860000</v>
      </c>
      <c r="O42" s="82" t="s">
        <v>358</v>
      </c>
      <c r="P42" s="82" t="s">
        <v>359</v>
      </c>
      <c r="Q42" s="87">
        <v>26299000</v>
      </c>
      <c r="R42" s="87">
        <v>107957395</v>
      </c>
      <c r="S42" s="87">
        <v>119292921</v>
      </c>
      <c r="T42" s="87">
        <v>96335209</v>
      </c>
      <c r="U42" s="82" t="s">
        <v>469</v>
      </c>
      <c r="V42" s="82"/>
      <c r="W42" s="96">
        <f t="shared" si="3"/>
        <v>22100000</v>
      </c>
      <c r="X42" s="104" t="s">
        <v>347</v>
      </c>
      <c r="Y42" s="104" t="s">
        <v>347</v>
      </c>
      <c r="Z42" s="104" t="s">
        <v>470</v>
      </c>
    </row>
    <row r="43" spans="1:26" ht="43" customHeight="1" x14ac:dyDescent="0.35">
      <c r="A43" s="81" t="s">
        <v>337</v>
      </c>
      <c r="B43" s="82" t="s">
        <v>430</v>
      </c>
      <c r="C43" s="82" t="s">
        <v>461</v>
      </c>
      <c r="D43" s="105">
        <v>93161800</v>
      </c>
      <c r="E43" s="82" t="s">
        <v>471</v>
      </c>
      <c r="F43" s="82" t="s">
        <v>472</v>
      </c>
      <c r="G43" s="83" t="s">
        <v>42</v>
      </c>
      <c r="H43" s="83" t="s">
        <v>49</v>
      </c>
      <c r="I43" s="83">
        <v>12</v>
      </c>
      <c r="J43" s="100" t="s">
        <v>350</v>
      </c>
      <c r="K43" s="87">
        <v>25000000</v>
      </c>
      <c r="L43" s="102">
        <v>0.19</v>
      </c>
      <c r="M43" s="87">
        <f>+K43*L43</f>
        <v>4750000</v>
      </c>
      <c r="N43" s="87">
        <f t="shared" si="1"/>
        <v>29750000</v>
      </c>
      <c r="O43" s="82" t="s">
        <v>343</v>
      </c>
      <c r="P43" s="82" t="s">
        <v>344</v>
      </c>
      <c r="Q43" s="87">
        <v>29750000</v>
      </c>
      <c r="R43" s="87">
        <v>0</v>
      </c>
      <c r="S43" s="87">
        <v>0</v>
      </c>
      <c r="T43" s="87">
        <v>0</v>
      </c>
      <c r="U43" s="108" t="s">
        <v>464</v>
      </c>
      <c r="V43" s="82"/>
      <c r="W43" s="96">
        <f t="shared" si="3"/>
        <v>25000000</v>
      </c>
      <c r="X43" s="104" t="s">
        <v>364</v>
      </c>
      <c r="Y43" s="104" t="s">
        <v>365</v>
      </c>
      <c r="Z43" s="104" t="s">
        <v>473</v>
      </c>
    </row>
    <row r="44" spans="1:26" ht="43" customHeight="1" x14ac:dyDescent="0.35">
      <c r="A44" s="81" t="s">
        <v>337</v>
      </c>
      <c r="B44" s="82" t="s">
        <v>430</v>
      </c>
      <c r="C44" s="82" t="s">
        <v>461</v>
      </c>
      <c r="D44" s="105">
        <v>84111506</v>
      </c>
      <c r="E44" s="82" t="s">
        <v>474</v>
      </c>
      <c r="F44" s="82" t="s">
        <v>475</v>
      </c>
      <c r="G44" s="83" t="s">
        <v>43</v>
      </c>
      <c r="H44" s="83" t="s">
        <v>45</v>
      </c>
      <c r="I44" s="83">
        <v>36</v>
      </c>
      <c r="J44" s="83" t="s">
        <v>403</v>
      </c>
      <c r="K44" s="87">
        <v>766351186.71428573</v>
      </c>
      <c r="L44" s="102">
        <v>0.19</v>
      </c>
      <c r="M44" s="87">
        <f>+K44*L44</f>
        <v>145606725.4757143</v>
      </c>
      <c r="N44" s="87">
        <f t="shared" si="1"/>
        <v>911957912.19000006</v>
      </c>
      <c r="O44" s="82" t="s">
        <v>358</v>
      </c>
      <c r="P44" s="82" t="s">
        <v>359</v>
      </c>
      <c r="Q44" s="87">
        <v>100965468.25418958</v>
      </c>
      <c r="R44" s="87">
        <v>303985970.73000002</v>
      </c>
      <c r="S44" s="87">
        <v>303985970.73000002</v>
      </c>
      <c r="T44" s="87">
        <v>203020502.47581047</v>
      </c>
      <c r="U44" s="108" t="s">
        <v>464</v>
      </c>
      <c r="V44" s="82"/>
      <c r="W44" s="96">
        <f t="shared" si="3"/>
        <v>84844931.306041673</v>
      </c>
      <c r="X44" s="104" t="s">
        <v>364</v>
      </c>
      <c r="Y44" s="104" t="s">
        <v>365</v>
      </c>
      <c r="Z44" s="104" t="s">
        <v>476</v>
      </c>
    </row>
    <row r="45" spans="1:26" ht="43" customHeight="1" x14ac:dyDescent="0.35">
      <c r="A45" s="81" t="s">
        <v>337</v>
      </c>
      <c r="B45" s="82" t="s">
        <v>477</v>
      </c>
      <c r="C45" s="82" t="s">
        <v>478</v>
      </c>
      <c r="D45" s="83" t="s">
        <v>479</v>
      </c>
      <c r="E45" s="82" t="s">
        <v>467</v>
      </c>
      <c r="F45" s="82" t="s">
        <v>480</v>
      </c>
      <c r="G45" s="83" t="s">
        <v>42</v>
      </c>
      <c r="H45" s="83" t="s">
        <v>43</v>
      </c>
      <c r="I45" s="83">
        <v>3</v>
      </c>
      <c r="J45" s="84" t="s">
        <v>350</v>
      </c>
      <c r="K45" s="87">
        <f>(1300000*50)/1.19</f>
        <v>54621848.739495799</v>
      </c>
      <c r="L45" s="86">
        <v>0.19</v>
      </c>
      <c r="M45" s="87">
        <f>+L45*K45</f>
        <v>10378151.260504201</v>
      </c>
      <c r="N45" s="87">
        <f t="shared" si="1"/>
        <v>65000000</v>
      </c>
      <c r="O45" s="82" t="s">
        <v>343</v>
      </c>
      <c r="P45" s="82" t="s">
        <v>344</v>
      </c>
      <c r="Q45" s="87">
        <v>65000000</v>
      </c>
      <c r="R45" s="87">
        <v>0</v>
      </c>
      <c r="S45" s="87">
        <v>0</v>
      </c>
      <c r="T45" s="87">
        <v>0</v>
      </c>
      <c r="U45" s="82" t="s">
        <v>481</v>
      </c>
      <c r="V45" s="82"/>
      <c r="W45" s="96">
        <f t="shared" si="3"/>
        <v>54621848.739495799</v>
      </c>
      <c r="X45" s="91" t="s">
        <v>482</v>
      </c>
      <c r="Y45" s="91" t="s">
        <v>347</v>
      </c>
      <c r="Z45" s="91" t="s">
        <v>347</v>
      </c>
    </row>
    <row r="46" spans="1:26" ht="43" customHeight="1" x14ac:dyDescent="0.35">
      <c r="A46" s="81" t="s">
        <v>337</v>
      </c>
      <c r="B46" s="82" t="s">
        <v>477</v>
      </c>
      <c r="C46" s="82" t="s">
        <v>478</v>
      </c>
      <c r="D46" s="83" t="s">
        <v>479</v>
      </c>
      <c r="E46" s="82" t="s">
        <v>467</v>
      </c>
      <c r="F46" s="82" t="s">
        <v>483</v>
      </c>
      <c r="G46" s="83" t="s">
        <v>44</v>
      </c>
      <c r="H46" s="83" t="s">
        <v>45</v>
      </c>
      <c r="I46" s="83">
        <v>8</v>
      </c>
      <c r="J46" s="84" t="s">
        <v>342</v>
      </c>
      <c r="K46" s="87">
        <f>200000000-K45</f>
        <v>145378151.26050419</v>
      </c>
      <c r="L46" s="86">
        <v>0.19</v>
      </c>
      <c r="M46" s="87">
        <f>+L46*K46</f>
        <v>27621848.739495795</v>
      </c>
      <c r="N46" s="87">
        <f t="shared" si="1"/>
        <v>172999999.99999997</v>
      </c>
      <c r="O46" s="82" t="s">
        <v>343</v>
      </c>
      <c r="P46" s="82" t="s">
        <v>344</v>
      </c>
      <c r="Q46" s="87">
        <v>173000000</v>
      </c>
      <c r="R46" s="87">
        <v>0</v>
      </c>
      <c r="S46" s="87">
        <v>0</v>
      </c>
      <c r="T46" s="87">
        <v>0</v>
      </c>
      <c r="U46" s="82" t="s">
        <v>481</v>
      </c>
      <c r="V46" s="82"/>
      <c r="W46" s="96">
        <v>0</v>
      </c>
      <c r="X46" s="91" t="s">
        <v>484</v>
      </c>
      <c r="Y46" s="91" t="s">
        <v>347</v>
      </c>
      <c r="Z46" s="91" t="s">
        <v>347</v>
      </c>
    </row>
    <row r="47" spans="1:26" ht="43" customHeight="1" x14ac:dyDescent="0.35">
      <c r="A47" s="81" t="s">
        <v>337</v>
      </c>
      <c r="B47" s="82" t="s">
        <v>477</v>
      </c>
      <c r="C47" s="82" t="s">
        <v>478</v>
      </c>
      <c r="D47" s="83" t="s">
        <v>485</v>
      </c>
      <c r="E47" s="82" t="s">
        <v>486</v>
      </c>
      <c r="F47" s="82" t="s">
        <v>487</v>
      </c>
      <c r="G47" s="83" t="s">
        <v>42</v>
      </c>
      <c r="H47" s="83" t="s">
        <v>53</v>
      </c>
      <c r="I47" s="83">
        <v>12</v>
      </c>
      <c r="J47" s="84" t="s">
        <v>350</v>
      </c>
      <c r="K47" s="87">
        <f>+(48739496*2)+(48739496*1.1)</f>
        <v>151092437.59999999</v>
      </c>
      <c r="L47" s="86">
        <v>0.19</v>
      </c>
      <c r="M47" s="87">
        <f>+L47*K47</f>
        <v>28707563.143999998</v>
      </c>
      <c r="N47" s="87">
        <f t="shared" si="1"/>
        <v>179800000.74399999</v>
      </c>
      <c r="O47" s="82" t="s">
        <v>343</v>
      </c>
      <c r="P47" s="82" t="s">
        <v>344</v>
      </c>
      <c r="Q47" s="87">
        <f>97478992*1.19</f>
        <v>116000000.47999999</v>
      </c>
      <c r="R47" s="87">
        <f>+(48739496*1.19)*1.1</f>
        <v>63800000.263999999</v>
      </c>
      <c r="S47" s="87">
        <v>0</v>
      </c>
      <c r="T47" s="87">
        <v>0</v>
      </c>
      <c r="U47" s="82" t="s">
        <v>481</v>
      </c>
      <c r="V47" s="82" t="s">
        <v>488</v>
      </c>
      <c r="W47" s="96">
        <f>+Q47/1.19</f>
        <v>97478992</v>
      </c>
      <c r="X47" s="91" t="s">
        <v>489</v>
      </c>
      <c r="Y47" s="91" t="s">
        <v>364</v>
      </c>
      <c r="Z47" s="91" t="s">
        <v>365</v>
      </c>
    </row>
    <row r="48" spans="1:26" ht="43" customHeight="1" x14ac:dyDescent="0.35">
      <c r="A48" s="81" t="s">
        <v>337</v>
      </c>
      <c r="B48" s="91" t="s">
        <v>477</v>
      </c>
      <c r="C48" s="91" t="s">
        <v>478</v>
      </c>
      <c r="D48" s="100" t="s">
        <v>479</v>
      </c>
      <c r="E48" s="91" t="s">
        <v>467</v>
      </c>
      <c r="F48" s="82" t="s">
        <v>490</v>
      </c>
      <c r="G48" s="83" t="s">
        <v>46</v>
      </c>
      <c r="H48" s="83" t="s">
        <v>47</v>
      </c>
      <c r="I48" s="83">
        <v>6</v>
      </c>
      <c r="J48" s="84" t="s">
        <v>350</v>
      </c>
      <c r="K48" s="87">
        <v>53857143</v>
      </c>
      <c r="L48" s="86">
        <v>0.19</v>
      </c>
      <c r="M48" s="87">
        <f>+L48*K48</f>
        <v>10232857.17</v>
      </c>
      <c r="N48" s="87">
        <f t="shared" si="1"/>
        <v>64090000.170000002</v>
      </c>
      <c r="O48" s="82" t="s">
        <v>343</v>
      </c>
      <c r="P48" s="82" t="s">
        <v>344</v>
      </c>
      <c r="Q48" s="87">
        <v>64090000.169999994</v>
      </c>
      <c r="R48" s="87">
        <v>0</v>
      </c>
      <c r="S48" s="87">
        <v>0</v>
      </c>
      <c r="T48" s="87">
        <v>0</v>
      </c>
      <c r="U48" s="82" t="s">
        <v>491</v>
      </c>
      <c r="V48" s="82"/>
      <c r="W48" s="96">
        <f>+Q48/1.19</f>
        <v>53857143</v>
      </c>
      <c r="X48" s="91" t="s">
        <v>492</v>
      </c>
      <c r="Y48" s="91" t="s">
        <v>347</v>
      </c>
      <c r="Z48" s="91" t="s">
        <v>347</v>
      </c>
    </row>
    <row r="49" spans="1:26" ht="43" customHeight="1" x14ac:dyDescent="0.35">
      <c r="A49" s="81" t="s">
        <v>337</v>
      </c>
      <c r="B49" s="82" t="s">
        <v>477</v>
      </c>
      <c r="C49" s="82" t="s">
        <v>478</v>
      </c>
      <c r="D49" s="83" t="s">
        <v>485</v>
      </c>
      <c r="E49" s="82" t="s">
        <v>486</v>
      </c>
      <c r="F49" s="82" t="s">
        <v>493</v>
      </c>
      <c r="G49" s="83" t="s">
        <v>48</v>
      </c>
      <c r="H49" s="83" t="s">
        <v>49</v>
      </c>
      <c r="I49" s="83">
        <v>12</v>
      </c>
      <c r="J49" s="84" t="s">
        <v>350</v>
      </c>
      <c r="K49" s="87">
        <v>50668470</v>
      </c>
      <c r="L49" s="86">
        <v>0.19</v>
      </c>
      <c r="M49" s="87">
        <v>7617330.2800000003</v>
      </c>
      <c r="N49" s="87">
        <f t="shared" si="1"/>
        <v>58285800.280000001</v>
      </c>
      <c r="O49" s="82" t="s">
        <v>358</v>
      </c>
      <c r="P49" s="82" t="s">
        <v>359</v>
      </c>
      <c r="Q49" s="87">
        <v>24399678</v>
      </c>
      <c r="R49" s="87">
        <v>32017008</v>
      </c>
      <c r="S49" s="87">
        <v>0</v>
      </c>
      <c r="T49" s="87">
        <v>0</v>
      </c>
      <c r="U49" s="82" t="s">
        <v>494</v>
      </c>
      <c r="V49" s="82"/>
      <c r="W49" s="109">
        <v>24399678</v>
      </c>
      <c r="X49" s="91" t="s">
        <v>495</v>
      </c>
      <c r="Y49" s="91" t="s">
        <v>496</v>
      </c>
      <c r="Z49" s="91" t="s">
        <v>497</v>
      </c>
    </row>
    <row r="50" spans="1:26" ht="43" customHeight="1" x14ac:dyDescent="0.35">
      <c r="A50" s="81" t="s">
        <v>337</v>
      </c>
      <c r="B50" s="82" t="s">
        <v>477</v>
      </c>
      <c r="C50" s="82" t="s">
        <v>498</v>
      </c>
      <c r="D50" s="83" t="s">
        <v>499</v>
      </c>
      <c r="E50" s="82" t="s">
        <v>500</v>
      </c>
      <c r="F50" s="99" t="s">
        <v>501</v>
      </c>
      <c r="G50" s="83" t="s">
        <v>48</v>
      </c>
      <c r="H50" s="83" t="s">
        <v>49</v>
      </c>
      <c r="I50" s="83">
        <v>12</v>
      </c>
      <c r="J50" s="84" t="s">
        <v>350</v>
      </c>
      <c r="K50" s="87">
        <f>29588054.6+(5555700*1.1)</f>
        <v>35699324.600000001</v>
      </c>
      <c r="L50" s="86">
        <v>0.19</v>
      </c>
      <c r="M50" s="87">
        <f t="shared" ref="M50:M72" si="4">+K50*L50</f>
        <v>6782871.6740000006</v>
      </c>
      <c r="N50" s="87">
        <f t="shared" si="1"/>
        <v>42482196.274000004</v>
      </c>
      <c r="O50" s="82" t="s">
        <v>358</v>
      </c>
      <c r="P50" s="82" t="s">
        <v>359</v>
      </c>
      <c r="Q50" s="87">
        <f>29588054.6*1.19</f>
        <v>35209784.973999999</v>
      </c>
      <c r="R50" s="87">
        <f>(5555700*1.1)*1.19</f>
        <v>7272411.3000000007</v>
      </c>
      <c r="S50" s="87">
        <v>0</v>
      </c>
      <c r="T50" s="87">
        <v>0</v>
      </c>
      <c r="U50" s="82" t="s">
        <v>502</v>
      </c>
      <c r="V50" s="82"/>
      <c r="W50" s="96">
        <f t="shared" ref="W50:W56" si="5">+Q50/1.19</f>
        <v>29588054.600000001</v>
      </c>
      <c r="X50" s="110" t="s">
        <v>503</v>
      </c>
      <c r="Y50" s="104" t="s">
        <v>364</v>
      </c>
      <c r="Z50" s="104" t="s">
        <v>365</v>
      </c>
    </row>
    <row r="51" spans="1:26" ht="43" customHeight="1" x14ac:dyDescent="0.35">
      <c r="A51" s="81" t="s">
        <v>337</v>
      </c>
      <c r="B51" s="82" t="s">
        <v>477</v>
      </c>
      <c r="C51" s="82" t="s">
        <v>498</v>
      </c>
      <c r="D51" s="83" t="s">
        <v>504</v>
      </c>
      <c r="E51" s="82" t="s">
        <v>505</v>
      </c>
      <c r="F51" s="99" t="s">
        <v>506</v>
      </c>
      <c r="G51" s="83" t="s">
        <v>48</v>
      </c>
      <c r="H51" s="83" t="s">
        <v>49</v>
      </c>
      <c r="I51" s="83">
        <v>6</v>
      </c>
      <c r="J51" s="84" t="s">
        <v>350</v>
      </c>
      <c r="K51" s="87">
        <v>20188350</v>
      </c>
      <c r="L51" s="86">
        <v>0.19</v>
      </c>
      <c r="M51" s="87">
        <f t="shared" si="4"/>
        <v>3835786.5</v>
      </c>
      <c r="N51" s="87">
        <f t="shared" si="1"/>
        <v>24024136.5</v>
      </c>
      <c r="O51" s="82" t="s">
        <v>343</v>
      </c>
      <c r="P51" s="82" t="s">
        <v>344</v>
      </c>
      <c r="Q51" s="87">
        <v>24024136.5</v>
      </c>
      <c r="R51" s="87">
        <v>0</v>
      </c>
      <c r="S51" s="87">
        <v>0</v>
      </c>
      <c r="T51" s="87">
        <v>0</v>
      </c>
      <c r="U51" s="82" t="s">
        <v>507</v>
      </c>
      <c r="V51" s="82"/>
      <c r="W51" s="96">
        <f t="shared" si="5"/>
        <v>20188350</v>
      </c>
      <c r="X51" s="110" t="s">
        <v>503</v>
      </c>
      <c r="Y51" s="104" t="s">
        <v>347</v>
      </c>
      <c r="Z51" s="104" t="s">
        <v>347</v>
      </c>
    </row>
    <row r="52" spans="1:26" ht="43" customHeight="1" x14ac:dyDescent="0.35">
      <c r="A52" s="81" t="s">
        <v>337</v>
      </c>
      <c r="B52" s="82" t="s">
        <v>477</v>
      </c>
      <c r="C52" s="82" t="s">
        <v>498</v>
      </c>
      <c r="D52" s="83" t="s">
        <v>479</v>
      </c>
      <c r="E52" s="82" t="s">
        <v>467</v>
      </c>
      <c r="F52" s="111" t="s">
        <v>508</v>
      </c>
      <c r="G52" s="83" t="s">
        <v>43</v>
      </c>
      <c r="H52" s="83" t="s">
        <v>46</v>
      </c>
      <c r="I52" s="83">
        <v>8</v>
      </c>
      <c r="J52" s="84" t="s">
        <v>342</v>
      </c>
      <c r="K52" s="87">
        <v>100000000</v>
      </c>
      <c r="L52" s="86">
        <v>0.19</v>
      </c>
      <c r="M52" s="87">
        <f t="shared" si="4"/>
        <v>19000000</v>
      </c>
      <c r="N52" s="87">
        <f>+M52+K52</f>
        <v>119000000</v>
      </c>
      <c r="O52" s="82" t="s">
        <v>343</v>
      </c>
      <c r="P52" s="82" t="s">
        <v>344</v>
      </c>
      <c r="Q52" s="87">
        <v>119000000</v>
      </c>
      <c r="R52" s="87">
        <v>0</v>
      </c>
      <c r="S52" s="87">
        <v>0</v>
      </c>
      <c r="T52" s="87">
        <v>0</v>
      </c>
      <c r="U52" s="82" t="s">
        <v>509</v>
      </c>
      <c r="V52" s="82"/>
      <c r="W52" s="96">
        <f t="shared" si="5"/>
        <v>100000000</v>
      </c>
      <c r="X52" s="110" t="s">
        <v>503</v>
      </c>
      <c r="Y52" s="104" t="s">
        <v>347</v>
      </c>
      <c r="Z52" s="104" t="s">
        <v>347</v>
      </c>
    </row>
    <row r="53" spans="1:26" ht="43" customHeight="1" x14ac:dyDescent="0.35">
      <c r="A53" s="81" t="s">
        <v>337</v>
      </c>
      <c r="B53" s="82" t="s">
        <v>477</v>
      </c>
      <c r="C53" s="82" t="s">
        <v>510</v>
      </c>
      <c r="D53" s="83" t="s">
        <v>479</v>
      </c>
      <c r="E53" s="82" t="s">
        <v>467</v>
      </c>
      <c r="F53" s="82" t="s">
        <v>511</v>
      </c>
      <c r="G53" s="83" t="s">
        <v>43</v>
      </c>
      <c r="H53" s="83" t="s">
        <v>46</v>
      </c>
      <c r="I53" s="83">
        <v>3</v>
      </c>
      <c r="J53" s="84" t="s">
        <v>342</v>
      </c>
      <c r="K53" s="87">
        <v>100000000</v>
      </c>
      <c r="L53" s="86">
        <v>0.19</v>
      </c>
      <c r="M53" s="87">
        <f t="shared" si="4"/>
        <v>19000000</v>
      </c>
      <c r="N53" s="87">
        <f>+M53+K53</f>
        <v>119000000</v>
      </c>
      <c r="O53" s="82" t="s">
        <v>343</v>
      </c>
      <c r="P53" s="82" t="s">
        <v>344</v>
      </c>
      <c r="Q53" s="87">
        <f>+K53*1.19</f>
        <v>119000000</v>
      </c>
      <c r="R53" s="87">
        <v>0</v>
      </c>
      <c r="S53" s="87">
        <v>0</v>
      </c>
      <c r="T53" s="87">
        <v>0</v>
      </c>
      <c r="U53" s="82" t="s">
        <v>512</v>
      </c>
      <c r="V53" s="82"/>
      <c r="W53" s="96">
        <f t="shared" si="5"/>
        <v>100000000</v>
      </c>
      <c r="X53" s="110" t="s">
        <v>503</v>
      </c>
      <c r="Y53" s="104" t="s">
        <v>347</v>
      </c>
      <c r="Z53" s="104" t="s">
        <v>347</v>
      </c>
    </row>
    <row r="54" spans="1:26" ht="43" customHeight="1" x14ac:dyDescent="0.35">
      <c r="A54" s="81" t="s">
        <v>337</v>
      </c>
      <c r="B54" s="82" t="s">
        <v>477</v>
      </c>
      <c r="C54" s="82" t="s">
        <v>510</v>
      </c>
      <c r="D54" s="83" t="s">
        <v>513</v>
      </c>
      <c r="E54" s="82" t="s">
        <v>340</v>
      </c>
      <c r="F54" s="82" t="s">
        <v>514</v>
      </c>
      <c r="G54" s="83" t="s">
        <v>42</v>
      </c>
      <c r="H54" s="83" t="s">
        <v>44</v>
      </c>
      <c r="I54" s="83">
        <v>8</v>
      </c>
      <c r="J54" s="84" t="s">
        <v>342</v>
      </c>
      <c r="K54" s="87">
        <v>400000000</v>
      </c>
      <c r="L54" s="86">
        <v>0.19</v>
      </c>
      <c r="M54" s="87">
        <f t="shared" si="4"/>
        <v>76000000</v>
      </c>
      <c r="N54" s="87">
        <f>+M54+K54</f>
        <v>476000000</v>
      </c>
      <c r="O54" s="82" t="s">
        <v>343</v>
      </c>
      <c r="P54" s="82" t="s">
        <v>344</v>
      </c>
      <c r="Q54" s="87">
        <v>476000000</v>
      </c>
      <c r="R54" s="87">
        <v>0</v>
      </c>
      <c r="S54" s="87">
        <v>0</v>
      </c>
      <c r="T54" s="87">
        <v>0</v>
      </c>
      <c r="U54" s="82" t="s">
        <v>512</v>
      </c>
      <c r="V54" s="82"/>
      <c r="W54" s="96">
        <f t="shared" si="5"/>
        <v>400000000</v>
      </c>
      <c r="X54" s="91" t="s">
        <v>515</v>
      </c>
      <c r="Y54" s="91"/>
      <c r="Z54" s="91"/>
    </row>
    <row r="55" spans="1:26" ht="43" customHeight="1" x14ac:dyDescent="0.35">
      <c r="A55" s="81" t="s">
        <v>337</v>
      </c>
      <c r="B55" s="82" t="s">
        <v>477</v>
      </c>
      <c r="C55" s="82" t="s">
        <v>510</v>
      </c>
      <c r="D55" s="83" t="s">
        <v>516</v>
      </c>
      <c r="E55" s="82" t="s">
        <v>517</v>
      </c>
      <c r="F55" s="82" t="s">
        <v>518</v>
      </c>
      <c r="G55" s="83" t="s">
        <v>49</v>
      </c>
      <c r="H55" s="83" t="s">
        <v>52</v>
      </c>
      <c r="I55" s="83">
        <v>24</v>
      </c>
      <c r="J55" s="84" t="s">
        <v>403</v>
      </c>
      <c r="K55" s="87">
        <v>5700000000</v>
      </c>
      <c r="L55" s="86">
        <v>0.19</v>
      </c>
      <c r="M55" s="87">
        <f t="shared" si="4"/>
        <v>1083000000</v>
      </c>
      <c r="N55" s="87">
        <f>+K55+M55</f>
        <v>6783000000</v>
      </c>
      <c r="O55" s="82" t="s">
        <v>358</v>
      </c>
      <c r="P55" s="82" t="s">
        <v>359</v>
      </c>
      <c r="Q55" s="87">
        <v>595000000</v>
      </c>
      <c r="R55" s="87">
        <v>0</v>
      </c>
      <c r="S55" s="87">
        <v>0</v>
      </c>
      <c r="T55" s="87">
        <v>0</v>
      </c>
      <c r="U55" s="82" t="s">
        <v>512</v>
      </c>
      <c r="V55" s="82"/>
      <c r="W55" s="96">
        <f t="shared" si="5"/>
        <v>500000000</v>
      </c>
      <c r="X55" s="110" t="s">
        <v>503</v>
      </c>
      <c r="Y55" s="104" t="s">
        <v>519</v>
      </c>
      <c r="Z55" s="104" t="s">
        <v>519</v>
      </c>
    </row>
    <row r="56" spans="1:26" ht="43" customHeight="1" x14ac:dyDescent="0.35">
      <c r="A56" s="81" t="s">
        <v>337</v>
      </c>
      <c r="B56" s="82" t="s">
        <v>477</v>
      </c>
      <c r="C56" s="82" t="s">
        <v>520</v>
      </c>
      <c r="D56" s="83" t="s">
        <v>521</v>
      </c>
      <c r="E56" s="82" t="s">
        <v>522</v>
      </c>
      <c r="F56" s="82" t="s">
        <v>523</v>
      </c>
      <c r="G56" s="83" t="s">
        <v>44</v>
      </c>
      <c r="H56" s="83" t="s">
        <v>48</v>
      </c>
      <c r="I56" s="83">
        <v>3</v>
      </c>
      <c r="J56" s="84" t="s">
        <v>342</v>
      </c>
      <c r="K56" s="87">
        <v>150000000</v>
      </c>
      <c r="L56" s="86">
        <v>0.19</v>
      </c>
      <c r="M56" s="87">
        <f t="shared" si="4"/>
        <v>28500000</v>
      </c>
      <c r="N56" s="87">
        <f t="shared" ref="N56:N68" si="6">+M56+K56</f>
        <v>178500000</v>
      </c>
      <c r="O56" s="82" t="s">
        <v>343</v>
      </c>
      <c r="P56" s="82" t="s">
        <v>344</v>
      </c>
      <c r="Q56" s="87">
        <v>178500000</v>
      </c>
      <c r="R56" s="87">
        <v>0</v>
      </c>
      <c r="S56" s="87">
        <v>0</v>
      </c>
      <c r="T56" s="87">
        <v>0</v>
      </c>
      <c r="U56" s="82" t="s">
        <v>524</v>
      </c>
      <c r="V56" s="82"/>
      <c r="W56" s="96">
        <f t="shared" si="5"/>
        <v>150000000</v>
      </c>
      <c r="X56" s="91" t="s">
        <v>515</v>
      </c>
      <c r="Y56" s="104" t="s">
        <v>347</v>
      </c>
      <c r="Z56" s="104" t="s">
        <v>347</v>
      </c>
    </row>
    <row r="57" spans="1:26" ht="43" customHeight="1" x14ac:dyDescent="0.35">
      <c r="A57" s="81" t="s">
        <v>337</v>
      </c>
      <c r="B57" s="82" t="s">
        <v>477</v>
      </c>
      <c r="C57" s="82" t="s">
        <v>520</v>
      </c>
      <c r="D57" s="83" t="s">
        <v>521</v>
      </c>
      <c r="E57" s="82" t="s">
        <v>522</v>
      </c>
      <c r="F57" s="82" t="s">
        <v>525</v>
      </c>
      <c r="G57" s="83" t="s">
        <v>48</v>
      </c>
      <c r="H57" s="83" t="s">
        <v>50</v>
      </c>
      <c r="I57" s="83">
        <v>4</v>
      </c>
      <c r="J57" s="84" t="s">
        <v>342</v>
      </c>
      <c r="K57" s="87">
        <v>200000000</v>
      </c>
      <c r="L57" s="86">
        <v>0.19</v>
      </c>
      <c r="M57" s="87">
        <f t="shared" si="4"/>
        <v>38000000</v>
      </c>
      <c r="N57" s="87">
        <f t="shared" si="6"/>
        <v>238000000</v>
      </c>
      <c r="O57" s="82" t="s">
        <v>343</v>
      </c>
      <c r="P57" s="82" t="s">
        <v>344</v>
      </c>
      <c r="Q57" s="87">
        <v>238000000</v>
      </c>
      <c r="R57" s="87">
        <v>0</v>
      </c>
      <c r="S57" s="87">
        <v>0</v>
      </c>
      <c r="T57" s="87">
        <v>0</v>
      </c>
      <c r="U57" s="82" t="s">
        <v>524</v>
      </c>
      <c r="V57" s="82" t="s">
        <v>526</v>
      </c>
      <c r="W57" s="96">
        <v>100000000</v>
      </c>
      <c r="X57" s="91" t="s">
        <v>515</v>
      </c>
      <c r="Y57" s="104" t="s">
        <v>347</v>
      </c>
      <c r="Z57" s="104" t="s">
        <v>347</v>
      </c>
    </row>
    <row r="58" spans="1:26" ht="43" customHeight="1" x14ac:dyDescent="0.35">
      <c r="A58" s="81" t="s">
        <v>337</v>
      </c>
      <c r="B58" s="82" t="s">
        <v>477</v>
      </c>
      <c r="C58" s="82" t="s">
        <v>510</v>
      </c>
      <c r="D58" s="83" t="s">
        <v>527</v>
      </c>
      <c r="E58" s="82" t="s">
        <v>528</v>
      </c>
      <c r="F58" s="82" t="s">
        <v>529</v>
      </c>
      <c r="G58" s="83" t="s">
        <v>46</v>
      </c>
      <c r="H58" s="83" t="s">
        <v>48</v>
      </c>
      <c r="I58" s="83">
        <v>5</v>
      </c>
      <c r="J58" s="84" t="s">
        <v>342</v>
      </c>
      <c r="K58" s="87">
        <v>400000000</v>
      </c>
      <c r="L58" s="86">
        <v>0.19</v>
      </c>
      <c r="M58" s="87">
        <f t="shared" si="4"/>
        <v>76000000</v>
      </c>
      <c r="N58" s="87">
        <f t="shared" si="6"/>
        <v>476000000</v>
      </c>
      <c r="O58" s="82" t="s">
        <v>343</v>
      </c>
      <c r="P58" s="82" t="s">
        <v>344</v>
      </c>
      <c r="Q58" s="87">
        <v>476000000</v>
      </c>
      <c r="R58" s="87">
        <v>0</v>
      </c>
      <c r="S58" s="87">
        <v>0</v>
      </c>
      <c r="T58" s="87">
        <v>0</v>
      </c>
      <c r="U58" s="82" t="s">
        <v>512</v>
      </c>
      <c r="V58" s="82"/>
      <c r="W58" s="96">
        <f t="shared" ref="W58:W63" si="7">+Q58/1.19</f>
        <v>400000000</v>
      </c>
      <c r="X58" s="110" t="s">
        <v>503</v>
      </c>
      <c r="Y58" s="91" t="s">
        <v>530</v>
      </c>
      <c r="Z58" s="91" t="s">
        <v>531</v>
      </c>
    </row>
    <row r="59" spans="1:26" ht="43" customHeight="1" x14ac:dyDescent="0.35">
      <c r="A59" s="81" t="s">
        <v>337</v>
      </c>
      <c r="B59" s="82" t="s">
        <v>477</v>
      </c>
      <c r="C59" s="82" t="s">
        <v>510</v>
      </c>
      <c r="D59" s="83" t="s">
        <v>527</v>
      </c>
      <c r="E59" s="82" t="s">
        <v>528</v>
      </c>
      <c r="F59" s="82" t="s">
        <v>532</v>
      </c>
      <c r="G59" s="83" t="s">
        <v>45</v>
      </c>
      <c r="H59" s="83" t="s">
        <v>47</v>
      </c>
      <c r="I59" s="83">
        <v>6</v>
      </c>
      <c r="J59" s="84" t="s">
        <v>342</v>
      </c>
      <c r="K59" s="87">
        <v>450000000</v>
      </c>
      <c r="L59" s="86">
        <v>0.19</v>
      </c>
      <c r="M59" s="87">
        <f t="shared" si="4"/>
        <v>85500000</v>
      </c>
      <c r="N59" s="87">
        <f t="shared" si="6"/>
        <v>535500000</v>
      </c>
      <c r="O59" s="82" t="s">
        <v>343</v>
      </c>
      <c r="P59" s="82" t="s">
        <v>344</v>
      </c>
      <c r="Q59" s="87">
        <v>535500000</v>
      </c>
      <c r="R59" s="87">
        <v>0</v>
      </c>
      <c r="S59" s="87">
        <v>0</v>
      </c>
      <c r="T59" s="87">
        <v>0</v>
      </c>
      <c r="U59" s="82" t="s">
        <v>512</v>
      </c>
      <c r="V59" s="82"/>
      <c r="W59" s="96">
        <f t="shared" si="7"/>
        <v>450000000</v>
      </c>
      <c r="X59" s="110" t="s">
        <v>503</v>
      </c>
      <c r="Y59" s="91" t="s">
        <v>533</v>
      </c>
      <c r="Z59" s="91" t="s">
        <v>534</v>
      </c>
    </row>
    <row r="60" spans="1:26" ht="43" customHeight="1" x14ac:dyDescent="0.35">
      <c r="A60" s="81" t="s">
        <v>337</v>
      </c>
      <c r="B60" s="82" t="s">
        <v>477</v>
      </c>
      <c r="C60" s="82" t="s">
        <v>520</v>
      </c>
      <c r="D60" s="83" t="s">
        <v>527</v>
      </c>
      <c r="E60" s="82" t="s">
        <v>528</v>
      </c>
      <c r="F60" s="82" t="s">
        <v>535</v>
      </c>
      <c r="G60" s="83" t="s">
        <v>44</v>
      </c>
      <c r="H60" s="83" t="s">
        <v>46</v>
      </c>
      <c r="I60" s="83">
        <v>6</v>
      </c>
      <c r="J60" s="84" t="s">
        <v>342</v>
      </c>
      <c r="K60" s="87">
        <v>100000000</v>
      </c>
      <c r="L60" s="86">
        <v>0.19</v>
      </c>
      <c r="M60" s="87">
        <f t="shared" si="4"/>
        <v>19000000</v>
      </c>
      <c r="N60" s="87">
        <f t="shared" si="6"/>
        <v>119000000</v>
      </c>
      <c r="O60" s="82" t="s">
        <v>343</v>
      </c>
      <c r="P60" s="82" t="s">
        <v>344</v>
      </c>
      <c r="Q60" s="87">
        <v>119000000</v>
      </c>
      <c r="R60" s="87">
        <v>0</v>
      </c>
      <c r="S60" s="87">
        <v>0</v>
      </c>
      <c r="T60" s="87">
        <v>0</v>
      </c>
      <c r="U60" s="82" t="s">
        <v>524</v>
      </c>
      <c r="V60" s="82"/>
      <c r="W60" s="96">
        <f t="shared" si="7"/>
        <v>100000000</v>
      </c>
      <c r="X60" s="110" t="s">
        <v>503</v>
      </c>
      <c r="Y60" s="91" t="s">
        <v>530</v>
      </c>
      <c r="Z60" s="91" t="s">
        <v>531</v>
      </c>
    </row>
    <row r="61" spans="1:26" ht="43" customHeight="1" x14ac:dyDescent="0.35">
      <c r="A61" s="81" t="s">
        <v>337</v>
      </c>
      <c r="B61" s="82" t="s">
        <v>477</v>
      </c>
      <c r="C61" s="82" t="s">
        <v>510</v>
      </c>
      <c r="D61" s="83" t="s">
        <v>536</v>
      </c>
      <c r="E61" s="82" t="s">
        <v>537</v>
      </c>
      <c r="F61" s="82" t="s">
        <v>538</v>
      </c>
      <c r="G61" s="83" t="s">
        <v>51</v>
      </c>
      <c r="H61" s="83" t="s">
        <v>53</v>
      </c>
      <c r="I61" s="83">
        <v>12</v>
      </c>
      <c r="J61" s="84" t="s">
        <v>350</v>
      </c>
      <c r="K61" s="87">
        <v>16794000</v>
      </c>
      <c r="L61" s="86">
        <v>0.19</v>
      </c>
      <c r="M61" s="87">
        <f t="shared" si="4"/>
        <v>3190860</v>
      </c>
      <c r="N61" s="87">
        <f t="shared" si="6"/>
        <v>19984860</v>
      </c>
      <c r="O61" s="82" t="s">
        <v>343</v>
      </c>
      <c r="P61" s="82" t="s">
        <v>344</v>
      </c>
      <c r="Q61" s="87">
        <v>19984860</v>
      </c>
      <c r="R61" s="87">
        <v>0</v>
      </c>
      <c r="S61" s="87">
        <v>0</v>
      </c>
      <c r="T61" s="87">
        <v>0</v>
      </c>
      <c r="U61" s="82" t="s">
        <v>512</v>
      </c>
      <c r="V61" s="82"/>
      <c r="W61" s="96">
        <f t="shared" si="7"/>
        <v>16794000</v>
      </c>
      <c r="X61" s="110" t="s">
        <v>503</v>
      </c>
      <c r="Y61" s="104" t="s">
        <v>539</v>
      </c>
      <c r="Z61" s="104" t="s">
        <v>539</v>
      </c>
    </row>
    <row r="62" spans="1:26" ht="43" customHeight="1" x14ac:dyDescent="0.35">
      <c r="A62" s="81" t="s">
        <v>337</v>
      </c>
      <c r="B62" s="82" t="s">
        <v>477</v>
      </c>
      <c r="C62" s="82" t="s">
        <v>510</v>
      </c>
      <c r="D62" s="83" t="s">
        <v>479</v>
      </c>
      <c r="E62" s="82" t="s">
        <v>467</v>
      </c>
      <c r="F62" s="82" t="s">
        <v>540</v>
      </c>
      <c r="G62" s="83" t="s">
        <v>45</v>
      </c>
      <c r="H62" s="83" t="s">
        <v>48</v>
      </c>
      <c r="I62" s="83">
        <v>2</v>
      </c>
      <c r="J62" s="84" t="s">
        <v>342</v>
      </c>
      <c r="K62" s="87">
        <v>60000000</v>
      </c>
      <c r="L62" s="86">
        <v>0.19</v>
      </c>
      <c r="M62" s="87">
        <f t="shared" si="4"/>
        <v>11400000</v>
      </c>
      <c r="N62" s="87">
        <f t="shared" si="6"/>
        <v>71400000</v>
      </c>
      <c r="O62" s="82" t="s">
        <v>343</v>
      </c>
      <c r="P62" s="82" t="s">
        <v>344</v>
      </c>
      <c r="Q62" s="87">
        <v>71400000</v>
      </c>
      <c r="R62" s="87">
        <v>0</v>
      </c>
      <c r="S62" s="87">
        <v>0</v>
      </c>
      <c r="T62" s="87">
        <v>0</v>
      </c>
      <c r="U62" s="82" t="s">
        <v>512</v>
      </c>
      <c r="V62" s="82"/>
      <c r="W62" s="96">
        <f t="shared" si="7"/>
        <v>60000000</v>
      </c>
      <c r="X62" s="110" t="s">
        <v>503</v>
      </c>
      <c r="Y62" s="104" t="s">
        <v>347</v>
      </c>
      <c r="Z62" s="104" t="s">
        <v>347</v>
      </c>
    </row>
    <row r="63" spans="1:26" ht="43" customHeight="1" x14ac:dyDescent="0.35">
      <c r="A63" s="81" t="s">
        <v>337</v>
      </c>
      <c r="B63" s="82" t="s">
        <v>477</v>
      </c>
      <c r="C63" s="82" t="s">
        <v>510</v>
      </c>
      <c r="D63" s="83" t="s">
        <v>541</v>
      </c>
      <c r="E63" s="82" t="s">
        <v>542</v>
      </c>
      <c r="F63" s="82" t="s">
        <v>543</v>
      </c>
      <c r="G63" s="112" t="s">
        <v>45</v>
      </c>
      <c r="H63" s="83" t="s">
        <v>47</v>
      </c>
      <c r="I63" s="83">
        <v>4</v>
      </c>
      <c r="J63" s="84" t="s">
        <v>350</v>
      </c>
      <c r="K63" s="87">
        <v>49000000</v>
      </c>
      <c r="L63" s="86">
        <v>0.19</v>
      </c>
      <c r="M63" s="87">
        <f t="shared" si="4"/>
        <v>9310000</v>
      </c>
      <c r="N63" s="87">
        <f t="shared" si="6"/>
        <v>58310000</v>
      </c>
      <c r="O63" s="82" t="s">
        <v>343</v>
      </c>
      <c r="P63" s="82" t="s">
        <v>344</v>
      </c>
      <c r="Q63" s="87">
        <v>58310000</v>
      </c>
      <c r="R63" s="87">
        <v>0</v>
      </c>
      <c r="S63" s="87">
        <v>0</v>
      </c>
      <c r="T63" s="87">
        <v>0</v>
      </c>
      <c r="U63" s="82" t="s">
        <v>512</v>
      </c>
      <c r="V63" s="82"/>
      <c r="W63" s="96">
        <f t="shared" si="7"/>
        <v>49000000</v>
      </c>
      <c r="X63" s="110" t="s">
        <v>503</v>
      </c>
      <c r="Y63" s="104" t="s">
        <v>347</v>
      </c>
      <c r="Z63" s="104" t="s">
        <v>347</v>
      </c>
    </row>
    <row r="64" spans="1:26" ht="43" customHeight="1" x14ac:dyDescent="0.35">
      <c r="A64" s="81" t="s">
        <v>337</v>
      </c>
      <c r="B64" s="82" t="s">
        <v>477</v>
      </c>
      <c r="C64" s="82" t="s">
        <v>510</v>
      </c>
      <c r="D64" s="83" t="s">
        <v>527</v>
      </c>
      <c r="E64" s="82" t="s">
        <v>528</v>
      </c>
      <c r="F64" s="82" t="s">
        <v>544</v>
      </c>
      <c r="G64" s="83" t="s">
        <v>43</v>
      </c>
      <c r="H64" s="83" t="s">
        <v>45</v>
      </c>
      <c r="I64" s="83">
        <v>8</v>
      </c>
      <c r="J64" s="84" t="s">
        <v>342</v>
      </c>
      <c r="K64" s="87">
        <v>300000000</v>
      </c>
      <c r="L64" s="86">
        <v>0.19</v>
      </c>
      <c r="M64" s="87">
        <f t="shared" si="4"/>
        <v>57000000</v>
      </c>
      <c r="N64" s="87">
        <f t="shared" si="6"/>
        <v>357000000</v>
      </c>
      <c r="O64" s="82" t="s">
        <v>343</v>
      </c>
      <c r="P64" s="82" t="s">
        <v>344</v>
      </c>
      <c r="Q64" s="87">
        <v>357000000</v>
      </c>
      <c r="R64" s="87">
        <v>0</v>
      </c>
      <c r="S64" s="87">
        <v>0</v>
      </c>
      <c r="T64" s="87">
        <v>0</v>
      </c>
      <c r="U64" s="82" t="s">
        <v>512</v>
      </c>
      <c r="V64" s="82"/>
      <c r="W64" s="96">
        <v>250000000</v>
      </c>
      <c r="X64" s="91"/>
      <c r="Y64" s="104" t="s">
        <v>347</v>
      </c>
      <c r="Z64" s="104" t="s">
        <v>347</v>
      </c>
    </row>
    <row r="65" spans="1:26" ht="43" customHeight="1" x14ac:dyDescent="0.35">
      <c r="A65" s="81" t="s">
        <v>337</v>
      </c>
      <c r="B65" s="82" t="s">
        <v>477</v>
      </c>
      <c r="C65" s="82" t="s">
        <v>510</v>
      </c>
      <c r="D65" s="83" t="s">
        <v>479</v>
      </c>
      <c r="E65" s="82" t="s">
        <v>467</v>
      </c>
      <c r="F65" s="82" t="s">
        <v>545</v>
      </c>
      <c r="G65" s="83" t="s">
        <v>49</v>
      </c>
      <c r="H65" s="83" t="s">
        <v>51</v>
      </c>
      <c r="I65" s="83">
        <v>2</v>
      </c>
      <c r="J65" s="84" t="s">
        <v>350</v>
      </c>
      <c r="K65" s="87">
        <v>35967000</v>
      </c>
      <c r="L65" s="86">
        <v>0.19</v>
      </c>
      <c r="M65" s="87">
        <f t="shared" si="4"/>
        <v>6833730</v>
      </c>
      <c r="N65" s="87">
        <f t="shared" si="6"/>
        <v>42800730</v>
      </c>
      <c r="O65" s="82" t="s">
        <v>343</v>
      </c>
      <c r="P65" s="82" t="s">
        <v>344</v>
      </c>
      <c r="Q65" s="87">
        <v>42800730</v>
      </c>
      <c r="R65" s="87">
        <v>0</v>
      </c>
      <c r="S65" s="87">
        <v>0</v>
      </c>
      <c r="T65" s="87">
        <v>0</v>
      </c>
      <c r="U65" s="82" t="s">
        <v>512</v>
      </c>
      <c r="V65" s="82"/>
      <c r="W65" s="96">
        <f t="shared" ref="W65:W87" si="8">+Q65/1.19</f>
        <v>35967000</v>
      </c>
      <c r="X65" s="110" t="s">
        <v>503</v>
      </c>
      <c r="Y65" s="104" t="s">
        <v>347</v>
      </c>
      <c r="Z65" s="104" t="s">
        <v>347</v>
      </c>
    </row>
    <row r="66" spans="1:26" ht="43" customHeight="1" x14ac:dyDescent="0.35">
      <c r="A66" s="81" t="s">
        <v>337</v>
      </c>
      <c r="B66" s="82" t="s">
        <v>477</v>
      </c>
      <c r="C66" s="82" t="s">
        <v>510</v>
      </c>
      <c r="D66" s="83" t="s">
        <v>546</v>
      </c>
      <c r="E66" s="82" t="s">
        <v>547</v>
      </c>
      <c r="F66" s="82" t="s">
        <v>548</v>
      </c>
      <c r="G66" s="83" t="s">
        <v>49</v>
      </c>
      <c r="H66" s="83" t="s">
        <v>50</v>
      </c>
      <c r="I66" s="83">
        <v>24</v>
      </c>
      <c r="J66" s="84" t="s">
        <v>350</v>
      </c>
      <c r="K66" s="87">
        <v>49830000</v>
      </c>
      <c r="L66" s="86">
        <v>0.19</v>
      </c>
      <c r="M66" s="87">
        <f t="shared" si="4"/>
        <v>9467700</v>
      </c>
      <c r="N66" s="87">
        <f t="shared" si="6"/>
        <v>59297700</v>
      </c>
      <c r="O66" s="82" t="s">
        <v>343</v>
      </c>
      <c r="P66" s="82" t="s">
        <v>344</v>
      </c>
      <c r="Q66" s="87">
        <v>59297700</v>
      </c>
      <c r="R66" s="87">
        <v>0</v>
      </c>
      <c r="S66" s="87">
        <v>0</v>
      </c>
      <c r="T66" s="87">
        <v>0</v>
      </c>
      <c r="U66" s="82" t="s">
        <v>512</v>
      </c>
      <c r="V66" s="82"/>
      <c r="W66" s="96">
        <f t="shared" si="8"/>
        <v>49830000</v>
      </c>
      <c r="X66" s="110" t="s">
        <v>503</v>
      </c>
      <c r="Y66" s="104" t="s">
        <v>364</v>
      </c>
      <c r="Z66" s="104" t="s">
        <v>365</v>
      </c>
    </row>
    <row r="67" spans="1:26" ht="43" customHeight="1" x14ac:dyDescent="0.35">
      <c r="A67" s="81" t="s">
        <v>337</v>
      </c>
      <c r="B67" s="82" t="s">
        <v>477</v>
      </c>
      <c r="C67" s="82" t="s">
        <v>510</v>
      </c>
      <c r="D67" s="83" t="s">
        <v>527</v>
      </c>
      <c r="E67" s="82" t="s">
        <v>528</v>
      </c>
      <c r="F67" s="82" t="s">
        <v>549</v>
      </c>
      <c r="G67" s="83" t="s">
        <v>44</v>
      </c>
      <c r="H67" s="83" t="s">
        <v>46</v>
      </c>
      <c r="I67" s="83">
        <v>7</v>
      </c>
      <c r="J67" s="84" t="s">
        <v>342</v>
      </c>
      <c r="K67" s="87">
        <v>300000000</v>
      </c>
      <c r="L67" s="86">
        <v>0.19</v>
      </c>
      <c r="M67" s="87">
        <f t="shared" si="4"/>
        <v>57000000</v>
      </c>
      <c r="N67" s="87">
        <f t="shared" si="6"/>
        <v>357000000</v>
      </c>
      <c r="O67" s="82" t="s">
        <v>343</v>
      </c>
      <c r="P67" s="82" t="s">
        <v>344</v>
      </c>
      <c r="Q67" s="87">
        <v>357000000</v>
      </c>
      <c r="R67" s="87"/>
      <c r="S67" s="87"/>
      <c r="T67" s="87"/>
      <c r="U67" s="82" t="s">
        <v>512</v>
      </c>
      <c r="V67" s="82"/>
      <c r="W67" s="96">
        <f t="shared" si="8"/>
        <v>300000000</v>
      </c>
      <c r="X67" s="110" t="s">
        <v>503</v>
      </c>
      <c r="Y67" s="104" t="s">
        <v>347</v>
      </c>
      <c r="Z67" s="104" t="s">
        <v>347</v>
      </c>
    </row>
    <row r="68" spans="1:26" ht="43" customHeight="1" x14ac:dyDescent="0.35">
      <c r="A68" s="81" t="s">
        <v>337</v>
      </c>
      <c r="B68" s="82" t="s">
        <v>477</v>
      </c>
      <c r="C68" s="82" t="s">
        <v>510</v>
      </c>
      <c r="D68" s="83" t="s">
        <v>550</v>
      </c>
      <c r="E68" s="82" t="s">
        <v>551</v>
      </c>
      <c r="F68" s="82" t="s">
        <v>552</v>
      </c>
      <c r="G68" s="83" t="s">
        <v>43</v>
      </c>
      <c r="H68" s="83" t="s">
        <v>46</v>
      </c>
      <c r="I68" s="83">
        <v>12</v>
      </c>
      <c r="J68" s="84" t="s">
        <v>403</v>
      </c>
      <c r="K68" s="87">
        <v>1000000000</v>
      </c>
      <c r="L68" s="86">
        <v>0.19</v>
      </c>
      <c r="M68" s="87">
        <f t="shared" si="4"/>
        <v>190000000</v>
      </c>
      <c r="N68" s="87">
        <f t="shared" si="6"/>
        <v>1190000000</v>
      </c>
      <c r="O68" s="82" t="s">
        <v>358</v>
      </c>
      <c r="P68" s="82" t="s">
        <v>359</v>
      </c>
      <c r="Q68" s="87">
        <v>690200000</v>
      </c>
      <c r="R68" s="87">
        <f>(K68*1.19)*42%</f>
        <v>499800000</v>
      </c>
      <c r="S68" s="87"/>
      <c r="T68" s="87"/>
      <c r="U68" s="82" t="s">
        <v>512</v>
      </c>
      <c r="V68" s="82" t="s">
        <v>553</v>
      </c>
      <c r="W68" s="96">
        <f t="shared" si="8"/>
        <v>580000000</v>
      </c>
      <c r="X68" s="82" t="s">
        <v>553</v>
      </c>
      <c r="Y68" s="104" t="s">
        <v>347</v>
      </c>
      <c r="Z68" s="104" t="s">
        <v>347</v>
      </c>
    </row>
    <row r="69" spans="1:26" ht="43" customHeight="1" x14ac:dyDescent="0.35">
      <c r="A69" s="81" t="s">
        <v>337</v>
      </c>
      <c r="B69" s="82" t="s">
        <v>477</v>
      </c>
      <c r="C69" s="82" t="s">
        <v>554</v>
      </c>
      <c r="D69" s="83" t="s">
        <v>555</v>
      </c>
      <c r="E69" s="82" t="s">
        <v>556</v>
      </c>
      <c r="F69" s="82" t="s">
        <v>557</v>
      </c>
      <c r="G69" s="83" t="s">
        <v>46</v>
      </c>
      <c r="H69" s="83" t="s">
        <v>48</v>
      </c>
      <c r="I69" s="83">
        <v>12</v>
      </c>
      <c r="J69" s="84" t="s">
        <v>350</v>
      </c>
      <c r="K69" s="87">
        <v>16575000</v>
      </c>
      <c r="L69" s="86">
        <v>0.19</v>
      </c>
      <c r="M69" s="87">
        <f t="shared" si="4"/>
        <v>3149250</v>
      </c>
      <c r="N69" s="87">
        <f>+K69+M69</f>
        <v>19724250</v>
      </c>
      <c r="O69" s="82" t="s">
        <v>358</v>
      </c>
      <c r="P69" s="82" t="s">
        <v>359</v>
      </c>
      <c r="Q69" s="87">
        <v>19724250</v>
      </c>
      <c r="R69" s="87">
        <v>33150000</v>
      </c>
      <c r="S69" s="87"/>
      <c r="T69" s="87"/>
      <c r="U69" s="82" t="s">
        <v>558</v>
      </c>
      <c r="V69" s="82" t="s">
        <v>559</v>
      </c>
      <c r="W69" s="96">
        <f t="shared" si="8"/>
        <v>16575000</v>
      </c>
      <c r="X69" s="110" t="s">
        <v>503</v>
      </c>
      <c r="Y69" s="104" t="s">
        <v>364</v>
      </c>
      <c r="Z69" s="104" t="s">
        <v>365</v>
      </c>
    </row>
    <row r="70" spans="1:26" ht="43" customHeight="1" x14ac:dyDescent="0.35">
      <c r="A70" s="81" t="s">
        <v>337</v>
      </c>
      <c r="B70" s="82" t="s">
        <v>477</v>
      </c>
      <c r="C70" s="82" t="s">
        <v>554</v>
      </c>
      <c r="D70" s="83" t="s">
        <v>560</v>
      </c>
      <c r="E70" s="82" t="s">
        <v>561</v>
      </c>
      <c r="F70" s="82" t="s">
        <v>562</v>
      </c>
      <c r="G70" s="83" t="s">
        <v>50</v>
      </c>
      <c r="H70" s="83" t="s">
        <v>52</v>
      </c>
      <c r="I70" s="83">
        <v>12</v>
      </c>
      <c r="J70" s="84" t="s">
        <v>350</v>
      </c>
      <c r="K70" s="87">
        <v>23480424</v>
      </c>
      <c r="L70" s="86">
        <v>0.19</v>
      </c>
      <c r="M70" s="87">
        <f t="shared" si="4"/>
        <v>4461280.5599999996</v>
      </c>
      <c r="N70" s="87">
        <f>+K70+M70</f>
        <v>27941704.559999999</v>
      </c>
      <c r="O70" s="82" t="s">
        <v>343</v>
      </c>
      <c r="P70" s="82" t="s">
        <v>344</v>
      </c>
      <c r="Q70" s="87">
        <v>0</v>
      </c>
      <c r="R70" s="87">
        <v>27941705</v>
      </c>
      <c r="S70" s="87"/>
      <c r="T70" s="87"/>
      <c r="U70" s="82" t="s">
        <v>563</v>
      </c>
      <c r="V70" s="82" t="s">
        <v>564</v>
      </c>
      <c r="W70" s="96">
        <f t="shared" si="8"/>
        <v>0</v>
      </c>
      <c r="X70" s="110" t="s">
        <v>503</v>
      </c>
      <c r="Y70" s="91"/>
      <c r="Z70" s="91"/>
    </row>
    <row r="71" spans="1:26" ht="43" customHeight="1" x14ac:dyDescent="0.35">
      <c r="A71" s="81" t="s">
        <v>337</v>
      </c>
      <c r="B71" s="82" t="s">
        <v>477</v>
      </c>
      <c r="C71" s="82" t="s">
        <v>554</v>
      </c>
      <c r="D71" s="83" t="s">
        <v>560</v>
      </c>
      <c r="E71" s="82" t="s">
        <v>561</v>
      </c>
      <c r="F71" s="82" t="s">
        <v>565</v>
      </c>
      <c r="G71" s="83" t="s">
        <v>45</v>
      </c>
      <c r="H71" s="83" t="s">
        <v>48</v>
      </c>
      <c r="I71" s="83">
        <v>12</v>
      </c>
      <c r="J71" s="84" t="s">
        <v>342</v>
      </c>
      <c r="K71" s="87">
        <v>500000000</v>
      </c>
      <c r="L71" s="86">
        <v>0.19</v>
      </c>
      <c r="M71" s="87">
        <f t="shared" si="4"/>
        <v>95000000</v>
      </c>
      <c r="N71" s="87">
        <f>+K71+M71</f>
        <v>595000000</v>
      </c>
      <c r="O71" s="82" t="s">
        <v>358</v>
      </c>
      <c r="P71" s="82" t="s">
        <v>359</v>
      </c>
      <c r="Q71" s="87">
        <v>300000000</v>
      </c>
      <c r="R71" s="87">
        <v>200000000</v>
      </c>
      <c r="S71" s="87" t="s">
        <v>443</v>
      </c>
      <c r="T71" s="87" t="s">
        <v>443</v>
      </c>
      <c r="U71" s="82" t="s">
        <v>563</v>
      </c>
      <c r="V71" s="82" t="s">
        <v>443</v>
      </c>
      <c r="W71" s="96">
        <f t="shared" si="8"/>
        <v>252100840.33613446</v>
      </c>
      <c r="X71" s="110" t="s">
        <v>503</v>
      </c>
      <c r="Y71" s="104" t="s">
        <v>566</v>
      </c>
      <c r="Z71" s="104" t="s">
        <v>379</v>
      </c>
    </row>
    <row r="72" spans="1:26" ht="43" customHeight="1" x14ac:dyDescent="0.35">
      <c r="A72" s="81" t="s">
        <v>337</v>
      </c>
      <c r="B72" s="82" t="s">
        <v>477</v>
      </c>
      <c r="C72" s="82" t="s">
        <v>567</v>
      </c>
      <c r="D72" s="83" t="s">
        <v>513</v>
      </c>
      <c r="E72" s="82" t="s">
        <v>340</v>
      </c>
      <c r="F72" s="82" t="s">
        <v>568</v>
      </c>
      <c r="G72" s="83" t="s">
        <v>43</v>
      </c>
      <c r="H72" s="83" t="s">
        <v>44</v>
      </c>
      <c r="I72" s="83">
        <v>12</v>
      </c>
      <c r="J72" s="84" t="s">
        <v>569</v>
      </c>
      <c r="K72" s="87">
        <v>2882056735</v>
      </c>
      <c r="L72" s="86">
        <v>0.19</v>
      </c>
      <c r="M72" s="87">
        <f t="shared" si="4"/>
        <v>547590779.64999998</v>
      </c>
      <c r="N72" s="87">
        <f>K72+M72</f>
        <v>3429647514.6500001</v>
      </c>
      <c r="O72" s="82" t="s">
        <v>358</v>
      </c>
      <c r="P72" s="82" t="s">
        <v>570</v>
      </c>
      <c r="Q72" s="87">
        <v>2790441615</v>
      </c>
      <c r="R72" s="87">
        <v>91615120</v>
      </c>
      <c r="S72" s="87" t="s">
        <v>443</v>
      </c>
      <c r="T72" s="87" t="s">
        <v>443</v>
      </c>
      <c r="U72" s="82" t="s">
        <v>571</v>
      </c>
      <c r="V72" s="82" t="s">
        <v>572</v>
      </c>
      <c r="W72" s="96">
        <f t="shared" si="8"/>
        <v>2344908920.1680675</v>
      </c>
      <c r="X72" s="91" t="s">
        <v>573</v>
      </c>
      <c r="Y72" s="91" t="s">
        <v>574</v>
      </c>
      <c r="Z72" s="91" t="s">
        <v>575</v>
      </c>
    </row>
    <row r="73" spans="1:26" ht="43" customHeight="1" x14ac:dyDescent="0.35">
      <c r="A73" s="81" t="s">
        <v>337</v>
      </c>
      <c r="B73" s="82" t="s">
        <v>477</v>
      </c>
      <c r="C73" s="82" t="s">
        <v>576</v>
      </c>
      <c r="D73" s="83">
        <v>81161700</v>
      </c>
      <c r="E73" s="82" t="s">
        <v>577</v>
      </c>
      <c r="F73" s="82" t="s">
        <v>578</v>
      </c>
      <c r="G73" s="83" t="s">
        <v>44</v>
      </c>
      <c r="H73" s="83" t="s">
        <v>46</v>
      </c>
      <c r="I73" s="83">
        <v>26</v>
      </c>
      <c r="J73" s="84" t="s">
        <v>403</v>
      </c>
      <c r="K73" s="87">
        <f>114081382*I73</f>
        <v>2966115932</v>
      </c>
      <c r="L73" s="86">
        <v>0.19</v>
      </c>
      <c r="M73" s="87">
        <f>K73*L73</f>
        <v>563562027.08000004</v>
      </c>
      <c r="N73" s="87">
        <f>K73+M73</f>
        <v>3529677959.0799999</v>
      </c>
      <c r="O73" s="82" t="s">
        <v>358</v>
      </c>
      <c r="P73" s="82" t="s">
        <v>359</v>
      </c>
      <c r="Q73" s="87">
        <v>543027378</v>
      </c>
      <c r="R73" s="87">
        <f>(N73/I73)*12</f>
        <v>1629082134.9599998</v>
      </c>
      <c r="S73" s="87">
        <f>(N73/I73)*10</f>
        <v>1357568445.7999997</v>
      </c>
      <c r="T73" s="87">
        <v>0</v>
      </c>
      <c r="U73" s="82" t="s">
        <v>579</v>
      </c>
      <c r="V73" s="82" t="s">
        <v>580</v>
      </c>
      <c r="W73" s="96">
        <f t="shared" si="8"/>
        <v>456325527.73109245</v>
      </c>
      <c r="X73" s="110" t="s">
        <v>503</v>
      </c>
      <c r="Y73" s="104" t="s">
        <v>581</v>
      </c>
      <c r="Z73" s="104" t="s">
        <v>581</v>
      </c>
    </row>
    <row r="74" spans="1:26" ht="43" customHeight="1" x14ac:dyDescent="0.35">
      <c r="A74" s="81" t="s">
        <v>337</v>
      </c>
      <c r="B74" s="82" t="s">
        <v>477</v>
      </c>
      <c r="C74" s="82" t="s">
        <v>576</v>
      </c>
      <c r="D74" s="83">
        <v>43233205</v>
      </c>
      <c r="E74" s="82" t="s">
        <v>582</v>
      </c>
      <c r="F74" s="82" t="s">
        <v>583</v>
      </c>
      <c r="G74" s="83" t="s">
        <v>44</v>
      </c>
      <c r="H74" s="83" t="s">
        <v>47</v>
      </c>
      <c r="I74" s="83">
        <v>48</v>
      </c>
      <c r="J74" s="84" t="s">
        <v>403</v>
      </c>
      <c r="K74" s="87">
        <v>775872048</v>
      </c>
      <c r="L74" s="86">
        <v>0.19</v>
      </c>
      <c r="M74" s="87">
        <f>K74*L74</f>
        <v>147415689.12</v>
      </c>
      <c r="N74" s="87">
        <f>K74+M74</f>
        <v>923287737.12</v>
      </c>
      <c r="O74" s="82" t="s">
        <v>358</v>
      </c>
      <c r="P74" s="82" t="s">
        <v>359</v>
      </c>
      <c r="Q74" s="87">
        <v>38810748</v>
      </c>
      <c r="R74" s="87">
        <v>245687100</v>
      </c>
      <c r="S74" s="87">
        <v>245687100</v>
      </c>
      <c r="T74" s="87">
        <v>245687100</v>
      </c>
      <c r="U74" s="82" t="s">
        <v>584</v>
      </c>
      <c r="V74" s="82" t="s">
        <v>585</v>
      </c>
      <c r="W74" s="96">
        <f t="shared" si="8"/>
        <v>32614073.949579835</v>
      </c>
      <c r="X74" s="110" t="s">
        <v>503</v>
      </c>
      <c r="Y74" s="104" t="s">
        <v>364</v>
      </c>
      <c r="Z74" s="104" t="s">
        <v>365</v>
      </c>
    </row>
    <row r="75" spans="1:26" ht="43" customHeight="1" x14ac:dyDescent="0.35">
      <c r="A75" s="81" t="s">
        <v>337</v>
      </c>
      <c r="B75" s="82" t="s">
        <v>477</v>
      </c>
      <c r="C75" s="82" t="s">
        <v>576</v>
      </c>
      <c r="D75" s="83" t="s">
        <v>560</v>
      </c>
      <c r="E75" s="82" t="s">
        <v>561</v>
      </c>
      <c r="F75" s="82" t="s">
        <v>586</v>
      </c>
      <c r="G75" s="83" t="s">
        <v>48</v>
      </c>
      <c r="H75" s="83" t="s">
        <v>50</v>
      </c>
      <c r="I75" s="83">
        <v>36</v>
      </c>
      <c r="J75" s="84" t="s">
        <v>403</v>
      </c>
      <c r="K75" s="87">
        <v>15000000000</v>
      </c>
      <c r="L75" s="86">
        <v>0.19</v>
      </c>
      <c r="M75" s="87">
        <f>+K75*L75</f>
        <v>2850000000</v>
      </c>
      <c r="N75" s="87">
        <f>+K75+M75</f>
        <v>17850000000</v>
      </c>
      <c r="O75" s="82" t="s">
        <v>358</v>
      </c>
      <c r="P75" s="82" t="s">
        <v>359</v>
      </c>
      <c r="Q75" s="87">
        <v>0</v>
      </c>
      <c r="R75" s="87">
        <v>495833333</v>
      </c>
      <c r="S75" s="87">
        <v>5950000000</v>
      </c>
      <c r="T75" s="87">
        <v>5950000000</v>
      </c>
      <c r="U75" s="82" t="s">
        <v>587</v>
      </c>
      <c r="V75" s="82" t="s">
        <v>588</v>
      </c>
      <c r="W75" s="96">
        <f t="shared" si="8"/>
        <v>0</v>
      </c>
      <c r="X75" s="110" t="s">
        <v>589</v>
      </c>
      <c r="Y75" s="91"/>
      <c r="Z75" s="91"/>
    </row>
    <row r="76" spans="1:26" ht="43" customHeight="1" x14ac:dyDescent="0.35">
      <c r="A76" s="81" t="s">
        <v>337</v>
      </c>
      <c r="B76" s="82" t="s">
        <v>477</v>
      </c>
      <c r="C76" s="82" t="s">
        <v>576</v>
      </c>
      <c r="D76" s="83">
        <v>81112300</v>
      </c>
      <c r="E76" s="82" t="s">
        <v>590</v>
      </c>
      <c r="F76" s="82" t="s">
        <v>591</v>
      </c>
      <c r="G76" s="83" t="s">
        <v>49</v>
      </c>
      <c r="H76" s="83" t="s">
        <v>52</v>
      </c>
      <c r="I76" s="83">
        <v>12</v>
      </c>
      <c r="J76" s="84" t="s">
        <v>350</v>
      </c>
      <c r="K76" s="87">
        <v>4000000</v>
      </c>
      <c r="L76" s="86">
        <v>0.19</v>
      </c>
      <c r="M76" s="87">
        <f>K76*L76</f>
        <v>760000</v>
      </c>
      <c r="N76" s="87">
        <f>K76+M76</f>
        <v>4760000</v>
      </c>
      <c r="O76" s="82" t="s">
        <v>343</v>
      </c>
      <c r="P76" s="82" t="s">
        <v>344</v>
      </c>
      <c r="Q76" s="87">
        <v>4760000</v>
      </c>
      <c r="R76" s="87"/>
      <c r="S76" s="87"/>
      <c r="T76" s="87"/>
      <c r="U76" s="82" t="s">
        <v>587</v>
      </c>
      <c r="V76" s="82" t="s">
        <v>592</v>
      </c>
      <c r="W76" s="96">
        <f t="shared" si="8"/>
        <v>4000000</v>
      </c>
      <c r="X76" s="110" t="s">
        <v>503</v>
      </c>
      <c r="Y76" s="104" t="s">
        <v>364</v>
      </c>
      <c r="Z76" s="104" t="s">
        <v>593</v>
      </c>
    </row>
    <row r="77" spans="1:26" ht="43" customHeight="1" x14ac:dyDescent="0.35">
      <c r="A77" s="81" t="s">
        <v>337</v>
      </c>
      <c r="B77" s="82" t="s">
        <v>477</v>
      </c>
      <c r="C77" s="82" t="s">
        <v>576</v>
      </c>
      <c r="D77" s="83" t="s">
        <v>560</v>
      </c>
      <c r="E77" s="82" t="s">
        <v>561</v>
      </c>
      <c r="F77" s="82" t="s">
        <v>594</v>
      </c>
      <c r="G77" s="83" t="s">
        <v>43</v>
      </c>
      <c r="H77" s="83" t="s">
        <v>45</v>
      </c>
      <c r="I77" s="83">
        <v>12</v>
      </c>
      <c r="J77" s="84" t="s">
        <v>350</v>
      </c>
      <c r="K77" s="87">
        <v>38041214</v>
      </c>
      <c r="L77" s="86">
        <v>0.19</v>
      </c>
      <c r="M77" s="87">
        <f>+K77*L77</f>
        <v>7227830.6600000001</v>
      </c>
      <c r="N77" s="87">
        <f>+K77+M77</f>
        <v>45269044.659999996</v>
      </c>
      <c r="O77" s="82" t="s">
        <v>343</v>
      </c>
      <c r="P77" s="82" t="s">
        <v>344</v>
      </c>
      <c r="Q77" s="87">
        <v>15269045</v>
      </c>
      <c r="R77" s="87">
        <v>30000000</v>
      </c>
      <c r="S77" s="87">
        <v>0</v>
      </c>
      <c r="T77" s="87">
        <v>0</v>
      </c>
      <c r="U77" s="82" t="s">
        <v>595</v>
      </c>
      <c r="V77" s="82" t="s">
        <v>596</v>
      </c>
      <c r="W77" s="96">
        <f t="shared" si="8"/>
        <v>12831130.25210084</v>
      </c>
      <c r="X77" s="110" t="s">
        <v>503</v>
      </c>
      <c r="Y77" s="104" t="s">
        <v>364</v>
      </c>
      <c r="Z77" s="104" t="s">
        <v>365</v>
      </c>
    </row>
    <row r="78" spans="1:26" ht="43" customHeight="1" x14ac:dyDescent="0.35">
      <c r="A78" s="81" t="s">
        <v>337</v>
      </c>
      <c r="B78" s="82" t="s">
        <v>477</v>
      </c>
      <c r="C78" s="82" t="s">
        <v>576</v>
      </c>
      <c r="D78" s="83" t="s">
        <v>560</v>
      </c>
      <c r="E78" s="82" t="s">
        <v>597</v>
      </c>
      <c r="F78" s="82" t="s">
        <v>598</v>
      </c>
      <c r="G78" s="83" t="s">
        <v>44</v>
      </c>
      <c r="H78" s="83" t="s">
        <v>49</v>
      </c>
      <c r="I78" s="83">
        <v>36</v>
      </c>
      <c r="J78" s="84" t="s">
        <v>403</v>
      </c>
      <c r="K78" s="87">
        <v>5455541240</v>
      </c>
      <c r="L78" s="113"/>
      <c r="M78" s="114">
        <v>25650000</v>
      </c>
      <c r="N78" s="87">
        <f>K78+M78</f>
        <v>5481191240</v>
      </c>
      <c r="O78" s="82" t="s">
        <v>358</v>
      </c>
      <c r="P78" s="82" t="s">
        <v>359</v>
      </c>
      <c r="Q78" s="87">
        <v>750850000</v>
      </c>
      <c r="R78" s="87">
        <v>1873876496</v>
      </c>
      <c r="S78" s="87">
        <v>1873876496</v>
      </c>
      <c r="T78" s="87">
        <v>956938248</v>
      </c>
      <c r="U78" s="82" t="s">
        <v>587</v>
      </c>
      <c r="V78" s="82" t="s">
        <v>599</v>
      </c>
      <c r="W78" s="96">
        <f t="shared" si="8"/>
        <v>630966386.55462193</v>
      </c>
      <c r="X78" s="110" t="s">
        <v>600</v>
      </c>
      <c r="Y78" s="104" t="s">
        <v>364</v>
      </c>
      <c r="Z78" s="104" t="s">
        <v>365</v>
      </c>
    </row>
    <row r="79" spans="1:26" ht="43" customHeight="1" x14ac:dyDescent="0.35">
      <c r="A79" s="81" t="s">
        <v>337</v>
      </c>
      <c r="B79" s="82" t="s">
        <v>477</v>
      </c>
      <c r="C79" s="82" t="s">
        <v>576</v>
      </c>
      <c r="D79" s="83">
        <v>81112205</v>
      </c>
      <c r="E79" s="82" t="s">
        <v>601</v>
      </c>
      <c r="F79" s="82" t="s">
        <v>602</v>
      </c>
      <c r="G79" s="83" t="s">
        <v>49</v>
      </c>
      <c r="H79" s="83" t="s">
        <v>50</v>
      </c>
      <c r="I79" s="83">
        <v>24</v>
      </c>
      <c r="J79" s="84" t="s">
        <v>350</v>
      </c>
      <c r="K79" s="87">
        <v>510688488</v>
      </c>
      <c r="L79" s="86">
        <v>0.19</v>
      </c>
      <c r="M79" s="87">
        <f>+K79*L79</f>
        <v>97030812.719999999</v>
      </c>
      <c r="N79" s="87">
        <f>+K79+M79</f>
        <v>607719300.72000003</v>
      </c>
      <c r="O79" s="82" t="s">
        <v>358</v>
      </c>
      <c r="P79" s="82" t="s">
        <v>359</v>
      </c>
      <c r="Q79" s="87">
        <v>0</v>
      </c>
      <c r="R79" s="87">
        <v>255344244</v>
      </c>
      <c r="S79" s="87">
        <v>255344244</v>
      </c>
      <c r="T79" s="87">
        <v>0</v>
      </c>
      <c r="U79" s="82" t="s">
        <v>603</v>
      </c>
      <c r="V79" s="82" t="s">
        <v>604</v>
      </c>
      <c r="W79" s="96">
        <f t="shared" si="8"/>
        <v>0</v>
      </c>
      <c r="X79" s="110" t="s">
        <v>503</v>
      </c>
      <c r="Y79" s="91"/>
      <c r="Z79" s="91"/>
    </row>
    <row r="80" spans="1:26" ht="43" customHeight="1" x14ac:dyDescent="0.35">
      <c r="A80" s="81" t="s">
        <v>337</v>
      </c>
      <c r="B80" s="82" t="s">
        <v>477</v>
      </c>
      <c r="C80" s="82" t="s">
        <v>576</v>
      </c>
      <c r="D80" s="83">
        <v>43231501</v>
      </c>
      <c r="E80" s="82" t="s">
        <v>605</v>
      </c>
      <c r="F80" s="82" t="s">
        <v>606</v>
      </c>
      <c r="G80" s="83" t="s">
        <v>43</v>
      </c>
      <c r="H80" s="83" t="s">
        <v>46</v>
      </c>
      <c r="I80" s="83">
        <v>36</v>
      </c>
      <c r="J80" s="84" t="s">
        <v>403</v>
      </c>
      <c r="K80" s="87">
        <v>5535757326</v>
      </c>
      <c r="L80" s="113"/>
      <c r="M80" s="114">
        <v>1051793892</v>
      </c>
      <c r="N80" s="87">
        <f>+K80+M80</f>
        <v>6587551218</v>
      </c>
      <c r="O80" s="82" t="s">
        <v>358</v>
      </c>
      <c r="P80" s="82" t="s">
        <v>359</v>
      </c>
      <c r="Q80" s="87">
        <v>456068297</v>
      </c>
      <c r="R80" s="87">
        <v>2395473170</v>
      </c>
      <c r="S80" s="87">
        <v>2395473170</v>
      </c>
      <c r="T80" s="87">
        <v>1340536581</v>
      </c>
      <c r="U80" s="82" t="s">
        <v>607</v>
      </c>
      <c r="V80" s="82" t="s">
        <v>608</v>
      </c>
      <c r="W80" s="96">
        <f t="shared" si="8"/>
        <v>383250669.74789917</v>
      </c>
      <c r="X80" s="110" t="s">
        <v>503</v>
      </c>
      <c r="Y80" s="104" t="s">
        <v>609</v>
      </c>
      <c r="Z80" s="104" t="s">
        <v>609</v>
      </c>
    </row>
    <row r="81" spans="1:26" ht="43" customHeight="1" x14ac:dyDescent="0.35">
      <c r="A81" s="81" t="s">
        <v>337</v>
      </c>
      <c r="B81" s="82" t="s">
        <v>477</v>
      </c>
      <c r="C81" s="82" t="s">
        <v>576</v>
      </c>
      <c r="D81" s="83">
        <v>81112306</v>
      </c>
      <c r="E81" s="82" t="s">
        <v>610</v>
      </c>
      <c r="F81" s="82" t="s">
        <v>611</v>
      </c>
      <c r="G81" s="83" t="s">
        <v>44</v>
      </c>
      <c r="H81" s="83" t="s">
        <v>47</v>
      </c>
      <c r="I81" s="83">
        <v>36</v>
      </c>
      <c r="J81" s="84" t="s">
        <v>403</v>
      </c>
      <c r="K81" s="87">
        <v>3712386245</v>
      </c>
      <c r="L81" s="86">
        <v>0.19</v>
      </c>
      <c r="M81" s="87">
        <f>K81*L81</f>
        <v>705353386.54999995</v>
      </c>
      <c r="N81" s="87">
        <f>K81+M81</f>
        <v>4417739631.5500002</v>
      </c>
      <c r="O81" s="82" t="s">
        <v>358</v>
      </c>
      <c r="P81" s="82" t="s">
        <v>359</v>
      </c>
      <c r="Q81" s="87">
        <v>189235536</v>
      </c>
      <c r="R81" s="87">
        <v>1472579877</v>
      </c>
      <c r="S81" s="87">
        <f>(N81/I81)*12</f>
        <v>1472579877.1833334</v>
      </c>
      <c r="T81" s="87">
        <f>(N81/I81)*10</f>
        <v>1227149897.6527779</v>
      </c>
      <c r="U81" s="82" t="s">
        <v>607</v>
      </c>
      <c r="V81" s="82" t="s">
        <v>612</v>
      </c>
      <c r="W81" s="96">
        <f t="shared" si="8"/>
        <v>159021458.82352942</v>
      </c>
      <c r="X81" s="91" t="s">
        <v>613</v>
      </c>
      <c r="Y81" s="104" t="s">
        <v>614</v>
      </c>
      <c r="Z81" s="104" t="s">
        <v>614</v>
      </c>
    </row>
    <row r="82" spans="1:26" ht="43" customHeight="1" x14ac:dyDescent="0.35">
      <c r="A82" s="81" t="s">
        <v>337</v>
      </c>
      <c r="B82" s="82" t="s">
        <v>477</v>
      </c>
      <c r="C82" s="82" t="s">
        <v>576</v>
      </c>
      <c r="D82" s="83">
        <v>81111508</v>
      </c>
      <c r="E82" s="82" t="s">
        <v>561</v>
      </c>
      <c r="F82" s="82" t="s">
        <v>615</v>
      </c>
      <c r="G82" s="83" t="s">
        <v>48</v>
      </c>
      <c r="H82" s="83" t="s">
        <v>52</v>
      </c>
      <c r="I82" s="83">
        <v>24</v>
      </c>
      <c r="J82" s="84" t="s">
        <v>342</v>
      </c>
      <c r="K82" s="87">
        <v>374000000</v>
      </c>
      <c r="L82" s="86">
        <v>0</v>
      </c>
      <c r="M82" s="87">
        <f>K82*L82</f>
        <v>0</v>
      </c>
      <c r="N82" s="87">
        <f>K82+M82</f>
        <v>374000000</v>
      </c>
      <c r="O82" s="82" t="s">
        <v>358</v>
      </c>
      <c r="P82" s="82" t="s">
        <v>359</v>
      </c>
      <c r="Q82" s="87">
        <v>0</v>
      </c>
      <c r="R82" s="87">
        <v>187000000</v>
      </c>
      <c r="S82" s="87">
        <v>187000000</v>
      </c>
      <c r="T82" s="87"/>
      <c r="U82" s="82" t="s">
        <v>587</v>
      </c>
      <c r="V82" s="82" t="s">
        <v>616</v>
      </c>
      <c r="W82" s="96">
        <f t="shared" si="8"/>
        <v>0</v>
      </c>
      <c r="X82" s="110" t="s">
        <v>503</v>
      </c>
      <c r="Y82" s="91"/>
      <c r="Z82" s="91"/>
    </row>
    <row r="83" spans="1:26" ht="43" customHeight="1" x14ac:dyDescent="0.35">
      <c r="A83" s="81" t="s">
        <v>337</v>
      </c>
      <c r="B83" s="82" t="s">
        <v>477</v>
      </c>
      <c r="C83" s="82" t="s">
        <v>576</v>
      </c>
      <c r="D83" s="83">
        <v>81111508</v>
      </c>
      <c r="E83" s="82" t="s">
        <v>561</v>
      </c>
      <c r="F83" s="82" t="s">
        <v>617</v>
      </c>
      <c r="G83" s="83" t="s">
        <v>48</v>
      </c>
      <c r="H83" s="83" t="s">
        <v>51</v>
      </c>
      <c r="I83" s="83">
        <v>24</v>
      </c>
      <c r="J83" s="84" t="s">
        <v>350</v>
      </c>
      <c r="K83" s="87">
        <v>43000000</v>
      </c>
      <c r="L83" s="86">
        <v>0.19</v>
      </c>
      <c r="M83" s="87">
        <f>+K83*L83</f>
        <v>8170000</v>
      </c>
      <c r="N83" s="87">
        <f t="shared" ref="N83:N90" si="9">+K83+M83</f>
        <v>51170000</v>
      </c>
      <c r="O83" s="82" t="s">
        <v>358</v>
      </c>
      <c r="P83" s="82" t="s">
        <v>359</v>
      </c>
      <c r="Q83" s="87">
        <v>0</v>
      </c>
      <c r="R83" s="87">
        <f>+N83</f>
        <v>51170000</v>
      </c>
      <c r="S83" s="87"/>
      <c r="T83" s="87"/>
      <c r="U83" s="82" t="s">
        <v>587</v>
      </c>
      <c r="V83" s="82" t="s">
        <v>618</v>
      </c>
      <c r="W83" s="96">
        <f t="shared" si="8"/>
        <v>0</v>
      </c>
      <c r="X83" s="110" t="s">
        <v>503</v>
      </c>
      <c r="Y83" s="91"/>
      <c r="Z83" s="91"/>
    </row>
    <row r="84" spans="1:26" ht="43" customHeight="1" x14ac:dyDescent="0.35">
      <c r="A84" s="81" t="s">
        <v>337</v>
      </c>
      <c r="B84" s="82" t="s">
        <v>477</v>
      </c>
      <c r="C84" s="82" t="s">
        <v>576</v>
      </c>
      <c r="D84" s="83">
        <v>81112208</v>
      </c>
      <c r="E84" s="82" t="s">
        <v>597</v>
      </c>
      <c r="F84" s="82" t="s">
        <v>619</v>
      </c>
      <c r="G84" s="83" t="s">
        <v>44</v>
      </c>
      <c r="H84" s="83" t="s">
        <v>46</v>
      </c>
      <c r="I84" s="83">
        <v>36</v>
      </c>
      <c r="J84" s="84" t="s">
        <v>403</v>
      </c>
      <c r="K84" s="87">
        <v>2000999988</v>
      </c>
      <c r="L84" s="86">
        <v>0.19</v>
      </c>
      <c r="M84" s="87">
        <v>380189998</v>
      </c>
      <c r="N84" s="87">
        <f t="shared" si="9"/>
        <v>2381189986</v>
      </c>
      <c r="O84" s="82" t="s">
        <v>358</v>
      </c>
      <c r="P84" s="82" t="s">
        <v>359</v>
      </c>
      <c r="Q84" s="87">
        <v>396864998</v>
      </c>
      <c r="R84" s="87">
        <v>793729995</v>
      </c>
      <c r="S84" s="87">
        <v>793729995</v>
      </c>
      <c r="T84" s="87">
        <v>396864998</v>
      </c>
      <c r="U84" s="82" t="s">
        <v>584</v>
      </c>
      <c r="V84" s="82" t="s">
        <v>443</v>
      </c>
      <c r="W84" s="96">
        <f t="shared" si="8"/>
        <v>333499998.31932777</v>
      </c>
      <c r="X84" s="110" t="s">
        <v>503</v>
      </c>
      <c r="Y84" s="91" t="s">
        <v>620</v>
      </c>
      <c r="Z84" s="91" t="s">
        <v>621</v>
      </c>
    </row>
    <row r="85" spans="1:26" ht="43" customHeight="1" x14ac:dyDescent="0.35">
      <c r="A85" s="81" t="s">
        <v>337</v>
      </c>
      <c r="B85" s="82" t="s">
        <v>477</v>
      </c>
      <c r="C85" s="82" t="s">
        <v>576</v>
      </c>
      <c r="D85" s="83">
        <v>81112105</v>
      </c>
      <c r="E85" s="82" t="s">
        <v>622</v>
      </c>
      <c r="F85" s="82" t="s">
        <v>623</v>
      </c>
      <c r="G85" s="83" t="s">
        <v>45</v>
      </c>
      <c r="H85" s="83" t="s">
        <v>47</v>
      </c>
      <c r="I85" s="83">
        <v>8</v>
      </c>
      <c r="J85" s="84" t="s">
        <v>342</v>
      </c>
      <c r="K85" s="87">
        <v>460000000</v>
      </c>
      <c r="L85" s="86">
        <v>0.19</v>
      </c>
      <c r="M85" s="87">
        <v>87400000</v>
      </c>
      <c r="N85" s="87">
        <f t="shared" si="9"/>
        <v>547400000</v>
      </c>
      <c r="O85" s="82" t="s">
        <v>343</v>
      </c>
      <c r="P85" s="82" t="s">
        <v>344</v>
      </c>
      <c r="Q85" s="87">
        <v>547400000</v>
      </c>
      <c r="R85" s="87" t="s">
        <v>443</v>
      </c>
      <c r="S85" s="87" t="s">
        <v>443</v>
      </c>
      <c r="T85" s="87" t="s">
        <v>443</v>
      </c>
      <c r="U85" s="82" t="s">
        <v>624</v>
      </c>
      <c r="V85" s="82" t="s">
        <v>443</v>
      </c>
      <c r="W85" s="96">
        <f t="shared" si="8"/>
        <v>460000000</v>
      </c>
      <c r="X85" s="110" t="s">
        <v>503</v>
      </c>
      <c r="Y85" s="104" t="s">
        <v>347</v>
      </c>
      <c r="Z85" s="104" t="s">
        <v>347</v>
      </c>
    </row>
    <row r="86" spans="1:26" ht="43" customHeight="1" x14ac:dyDescent="0.35">
      <c r="A86" s="81" t="s">
        <v>337</v>
      </c>
      <c r="B86" s="82" t="s">
        <v>477</v>
      </c>
      <c r="C86" s="82" t="s">
        <v>576</v>
      </c>
      <c r="D86" s="83">
        <v>81111508</v>
      </c>
      <c r="E86" s="82" t="s">
        <v>561</v>
      </c>
      <c r="F86" s="82" t="s">
        <v>625</v>
      </c>
      <c r="G86" s="83" t="s">
        <v>43</v>
      </c>
      <c r="H86" s="83" t="s">
        <v>45</v>
      </c>
      <c r="I86" s="83">
        <v>36</v>
      </c>
      <c r="J86" s="84" t="s">
        <v>403</v>
      </c>
      <c r="K86" s="87">
        <v>680535000</v>
      </c>
      <c r="L86" s="86">
        <v>0.19</v>
      </c>
      <c r="M86" s="87">
        <f t="shared" ref="M86:M90" si="10">+K86*L86</f>
        <v>129301650</v>
      </c>
      <c r="N86" s="87">
        <f t="shared" si="9"/>
        <v>809836650</v>
      </c>
      <c r="O86" s="82" t="s">
        <v>358</v>
      </c>
      <c r="P86" s="82" t="s">
        <v>359</v>
      </c>
      <c r="Q86" s="87">
        <v>95836650</v>
      </c>
      <c r="R86" s="87">
        <v>285600000</v>
      </c>
      <c r="S86" s="87">
        <v>285600000</v>
      </c>
      <c r="T86" s="87">
        <v>142800000</v>
      </c>
      <c r="U86" s="82" t="s">
        <v>584</v>
      </c>
      <c r="V86" s="82"/>
      <c r="W86" s="96">
        <f t="shared" si="8"/>
        <v>80535000</v>
      </c>
      <c r="X86" s="110" t="s">
        <v>503</v>
      </c>
      <c r="Y86" s="104" t="s">
        <v>364</v>
      </c>
      <c r="Z86" s="104" t="s">
        <v>365</v>
      </c>
    </row>
    <row r="87" spans="1:26" ht="43" customHeight="1" x14ac:dyDescent="0.35">
      <c r="A87" s="81" t="s">
        <v>337</v>
      </c>
      <c r="B87" s="82" t="s">
        <v>477</v>
      </c>
      <c r="C87" s="82" t="s">
        <v>576</v>
      </c>
      <c r="D87" s="83">
        <v>43231501</v>
      </c>
      <c r="E87" s="82" t="s">
        <v>605</v>
      </c>
      <c r="F87" s="82" t="s">
        <v>626</v>
      </c>
      <c r="G87" s="83" t="s">
        <v>44</v>
      </c>
      <c r="H87" s="83" t="s">
        <v>47</v>
      </c>
      <c r="I87" s="83">
        <v>36</v>
      </c>
      <c r="J87" s="84" t="s">
        <v>350</v>
      </c>
      <c r="K87" s="87">
        <f>+Q87+R87+S87</f>
        <v>1536835089</v>
      </c>
      <c r="L87" s="86">
        <v>0.19</v>
      </c>
      <c r="M87" s="87">
        <f t="shared" si="10"/>
        <v>291998666.91000003</v>
      </c>
      <c r="N87" s="87">
        <f t="shared" si="9"/>
        <v>1828833755.9100001</v>
      </c>
      <c r="O87" s="82" t="s">
        <v>358</v>
      </c>
      <c r="P87" s="82" t="s">
        <v>359</v>
      </c>
      <c r="Q87" s="87">
        <v>455439512</v>
      </c>
      <c r="R87" s="87">
        <v>510092253</v>
      </c>
      <c r="S87" s="87">
        <v>571303324</v>
      </c>
      <c r="T87" s="87"/>
      <c r="U87" s="82" t="s">
        <v>607</v>
      </c>
      <c r="V87" s="82" t="s">
        <v>627</v>
      </c>
      <c r="W87" s="96">
        <f t="shared" si="8"/>
        <v>382722278.99159664</v>
      </c>
      <c r="X87" s="110" t="s">
        <v>503</v>
      </c>
      <c r="Y87" s="104" t="s">
        <v>566</v>
      </c>
      <c r="Z87" s="104" t="s">
        <v>379</v>
      </c>
    </row>
    <row r="88" spans="1:26" ht="43" customHeight="1" x14ac:dyDescent="0.35">
      <c r="A88" s="81" t="s">
        <v>337</v>
      </c>
      <c r="B88" s="82" t="s">
        <v>477</v>
      </c>
      <c r="C88" s="115" t="s">
        <v>576</v>
      </c>
      <c r="D88" s="116">
        <v>81111508</v>
      </c>
      <c r="E88" s="115" t="s">
        <v>561</v>
      </c>
      <c r="F88" s="115" t="s">
        <v>628</v>
      </c>
      <c r="G88" s="116" t="s">
        <v>46</v>
      </c>
      <c r="H88" s="116" t="s">
        <v>48</v>
      </c>
      <c r="I88" s="116">
        <v>36</v>
      </c>
      <c r="J88" s="117" t="s">
        <v>403</v>
      </c>
      <c r="K88" s="118">
        <f>+R88+S88+T88</f>
        <v>2469796734</v>
      </c>
      <c r="L88" s="119">
        <v>0.19</v>
      </c>
      <c r="M88" s="118">
        <f t="shared" si="10"/>
        <v>469261379.45999998</v>
      </c>
      <c r="N88" s="118">
        <f t="shared" si="9"/>
        <v>2939058113.46</v>
      </c>
      <c r="O88" s="115" t="s">
        <v>358</v>
      </c>
      <c r="P88" s="115" t="s">
        <v>359</v>
      </c>
      <c r="Q88" s="118">
        <v>0</v>
      </c>
      <c r="R88" s="118">
        <v>733966340</v>
      </c>
      <c r="S88" s="118">
        <v>807362974</v>
      </c>
      <c r="T88" s="118">
        <v>928467420</v>
      </c>
      <c r="U88" s="115" t="s">
        <v>603</v>
      </c>
      <c r="V88" s="115" t="s">
        <v>629</v>
      </c>
      <c r="W88" s="120">
        <v>0</v>
      </c>
      <c r="X88" s="121" t="s">
        <v>503</v>
      </c>
      <c r="Y88" s="122"/>
      <c r="Z88" s="122"/>
    </row>
    <row r="89" spans="1:26" ht="43" customHeight="1" x14ac:dyDescent="0.35">
      <c r="A89" s="81" t="s">
        <v>337</v>
      </c>
      <c r="B89" s="82" t="s">
        <v>477</v>
      </c>
      <c r="C89" s="115" t="s">
        <v>567</v>
      </c>
      <c r="D89" s="116">
        <v>43231500</v>
      </c>
      <c r="E89" s="115" t="s">
        <v>630</v>
      </c>
      <c r="F89" s="115" t="s">
        <v>631</v>
      </c>
      <c r="G89" s="116" t="s">
        <v>44</v>
      </c>
      <c r="H89" s="116" t="s">
        <v>46</v>
      </c>
      <c r="I89" s="116">
        <v>24</v>
      </c>
      <c r="J89" s="117" t="s">
        <v>350</v>
      </c>
      <c r="K89" s="118">
        <v>378000000</v>
      </c>
      <c r="L89" s="119">
        <v>0.19</v>
      </c>
      <c r="M89" s="118">
        <f t="shared" si="10"/>
        <v>71820000</v>
      </c>
      <c r="N89" s="118">
        <f t="shared" si="9"/>
        <v>449820000</v>
      </c>
      <c r="O89" s="115" t="s">
        <v>358</v>
      </c>
      <c r="P89" s="115" t="s">
        <v>359</v>
      </c>
      <c r="Q89" s="118">
        <v>199920000</v>
      </c>
      <c r="R89" s="118">
        <v>249900000</v>
      </c>
      <c r="S89" s="118">
        <v>0</v>
      </c>
      <c r="T89" s="118">
        <v>0</v>
      </c>
      <c r="U89" s="82" t="s">
        <v>571</v>
      </c>
      <c r="V89" s="115" t="s">
        <v>632</v>
      </c>
      <c r="W89" s="120">
        <v>0</v>
      </c>
      <c r="X89" s="121" t="s">
        <v>633</v>
      </c>
      <c r="Y89" s="122"/>
      <c r="Z89" s="122"/>
    </row>
    <row r="90" spans="1:26" ht="43" customHeight="1" x14ac:dyDescent="0.35">
      <c r="A90" s="81" t="s">
        <v>337</v>
      </c>
      <c r="B90" s="82" t="s">
        <v>477</v>
      </c>
      <c r="C90" s="115" t="s">
        <v>576</v>
      </c>
      <c r="D90" s="116">
        <v>81112208</v>
      </c>
      <c r="E90" s="115" t="s">
        <v>597</v>
      </c>
      <c r="F90" s="123" t="s">
        <v>634</v>
      </c>
      <c r="G90" s="116" t="s">
        <v>43</v>
      </c>
      <c r="H90" s="124" t="s">
        <v>47</v>
      </c>
      <c r="I90" s="116">
        <v>36</v>
      </c>
      <c r="J90" s="116" t="s">
        <v>403</v>
      </c>
      <c r="K90" s="118">
        <v>2367741600</v>
      </c>
      <c r="L90" s="119">
        <v>0.19</v>
      </c>
      <c r="M90" s="118">
        <f t="shared" si="10"/>
        <v>449870904</v>
      </c>
      <c r="N90" s="118">
        <f t="shared" si="9"/>
        <v>2817612504</v>
      </c>
      <c r="O90" s="115" t="s">
        <v>358</v>
      </c>
      <c r="P90" s="115" t="s">
        <v>359</v>
      </c>
      <c r="Q90" s="118">
        <v>313068056</v>
      </c>
      <c r="R90" s="118">
        <v>939204168</v>
      </c>
      <c r="S90" s="118">
        <v>939204168</v>
      </c>
      <c r="T90" s="118" t="s">
        <v>635</v>
      </c>
      <c r="U90" s="82" t="s">
        <v>584</v>
      </c>
      <c r="V90" s="115" t="s">
        <v>636</v>
      </c>
      <c r="W90" s="120">
        <v>0</v>
      </c>
      <c r="X90" s="121" t="s">
        <v>633</v>
      </c>
      <c r="Y90" s="122"/>
      <c r="Z90" s="122"/>
    </row>
    <row r="91" spans="1:26" ht="43" customHeight="1" x14ac:dyDescent="0.35">
      <c r="A91" s="81" t="s">
        <v>337</v>
      </c>
      <c r="B91" s="82" t="s">
        <v>637</v>
      </c>
      <c r="C91" s="82" t="s">
        <v>638</v>
      </c>
      <c r="D91" s="125">
        <v>94131603</v>
      </c>
      <c r="E91" s="82" t="s">
        <v>639</v>
      </c>
      <c r="F91" s="82" t="s">
        <v>640</v>
      </c>
      <c r="G91" s="100" t="s">
        <v>53</v>
      </c>
      <c r="H91" s="83" t="s">
        <v>53</v>
      </c>
      <c r="I91" s="83">
        <v>12</v>
      </c>
      <c r="J91" s="84" t="s">
        <v>342</v>
      </c>
      <c r="K91" s="87">
        <v>333870000</v>
      </c>
      <c r="L91" s="86">
        <v>0.19</v>
      </c>
      <c r="M91" s="87">
        <v>63435300</v>
      </c>
      <c r="N91" s="87">
        <v>397305300</v>
      </c>
      <c r="O91" s="82" t="s">
        <v>343</v>
      </c>
      <c r="P91" s="82" t="s">
        <v>344</v>
      </c>
      <c r="Q91" s="87">
        <v>397305300</v>
      </c>
      <c r="R91" s="87"/>
      <c r="S91" s="87"/>
      <c r="T91" s="87"/>
      <c r="U91" s="82" t="s">
        <v>641</v>
      </c>
      <c r="V91" s="88" t="s">
        <v>642</v>
      </c>
      <c r="W91" s="96">
        <v>333870000</v>
      </c>
      <c r="X91" s="91" t="s">
        <v>643</v>
      </c>
      <c r="Y91" s="91" t="s">
        <v>643</v>
      </c>
      <c r="Z91" s="91" t="s">
        <v>644</v>
      </c>
    </row>
    <row r="92" spans="1:26" ht="43" customHeight="1" x14ac:dyDescent="0.35">
      <c r="A92" s="81" t="s">
        <v>337</v>
      </c>
      <c r="B92" s="126" t="s">
        <v>637</v>
      </c>
      <c r="C92" s="82" t="s">
        <v>638</v>
      </c>
      <c r="D92" s="125">
        <v>80121604</v>
      </c>
      <c r="E92" s="107" t="s">
        <v>645</v>
      </c>
      <c r="F92" s="82" t="s">
        <v>646</v>
      </c>
      <c r="G92" s="100" t="s">
        <v>53</v>
      </c>
      <c r="H92" s="83" t="s">
        <v>53</v>
      </c>
      <c r="I92" s="83">
        <v>12</v>
      </c>
      <c r="J92" s="84" t="s">
        <v>350</v>
      </c>
      <c r="K92" s="114">
        <v>40000000</v>
      </c>
      <c r="L92" s="127">
        <v>0.19</v>
      </c>
      <c r="M92" s="87">
        <v>7600000</v>
      </c>
      <c r="N92" s="87">
        <v>47600000</v>
      </c>
      <c r="O92" s="82" t="s">
        <v>343</v>
      </c>
      <c r="P92" s="82" t="s">
        <v>344</v>
      </c>
      <c r="Q92" s="114">
        <v>47600000</v>
      </c>
      <c r="R92" s="87"/>
      <c r="S92" s="87"/>
      <c r="T92" s="87"/>
      <c r="U92" s="82" t="s">
        <v>641</v>
      </c>
      <c r="V92" s="88" t="s">
        <v>647</v>
      </c>
      <c r="W92" s="96">
        <v>40000000</v>
      </c>
      <c r="X92" s="91" t="s">
        <v>347</v>
      </c>
      <c r="Y92" s="91" t="s">
        <v>347</v>
      </c>
      <c r="Z92" s="91" t="s">
        <v>648</v>
      </c>
    </row>
    <row r="93" spans="1:26" ht="43" customHeight="1" x14ac:dyDescent="0.35">
      <c r="A93" s="81" t="s">
        <v>337</v>
      </c>
      <c r="B93" s="126" t="s">
        <v>637</v>
      </c>
      <c r="C93" s="82" t="s">
        <v>638</v>
      </c>
      <c r="D93" s="125">
        <v>80121604</v>
      </c>
      <c r="E93" s="82" t="s">
        <v>645</v>
      </c>
      <c r="F93" s="82" t="s">
        <v>646</v>
      </c>
      <c r="G93" s="100" t="s">
        <v>53</v>
      </c>
      <c r="H93" s="83" t="s">
        <v>53</v>
      </c>
      <c r="I93" s="83">
        <v>12</v>
      </c>
      <c r="J93" s="84" t="s">
        <v>350</v>
      </c>
      <c r="K93" s="114">
        <v>8392472</v>
      </c>
      <c r="L93" s="127">
        <v>0</v>
      </c>
      <c r="M93" s="87">
        <v>0</v>
      </c>
      <c r="N93" s="87">
        <v>8392472</v>
      </c>
      <c r="O93" s="82" t="s">
        <v>343</v>
      </c>
      <c r="P93" s="82" t="s">
        <v>344</v>
      </c>
      <c r="Q93" s="114">
        <v>8392472</v>
      </c>
      <c r="R93" s="87"/>
      <c r="S93" s="87"/>
      <c r="T93" s="87"/>
      <c r="U93" s="82" t="s">
        <v>641</v>
      </c>
      <c r="V93" s="88" t="s">
        <v>649</v>
      </c>
      <c r="W93" s="96">
        <v>8392472</v>
      </c>
      <c r="X93" s="91" t="s">
        <v>650</v>
      </c>
      <c r="Y93" s="91" t="s">
        <v>650</v>
      </c>
      <c r="Z93" s="91" t="s">
        <v>650</v>
      </c>
    </row>
    <row r="94" spans="1:26" ht="43" customHeight="1" x14ac:dyDescent="0.35">
      <c r="A94" s="81" t="s">
        <v>337</v>
      </c>
      <c r="B94" s="82" t="s">
        <v>637</v>
      </c>
      <c r="C94" s="82" t="s">
        <v>638</v>
      </c>
      <c r="D94" s="125">
        <v>80121600</v>
      </c>
      <c r="E94" s="82" t="s">
        <v>651</v>
      </c>
      <c r="F94" s="82" t="s">
        <v>652</v>
      </c>
      <c r="G94" s="100" t="s">
        <v>53</v>
      </c>
      <c r="H94" s="83" t="s">
        <v>53</v>
      </c>
      <c r="I94" s="83">
        <v>12</v>
      </c>
      <c r="J94" s="84" t="s">
        <v>350</v>
      </c>
      <c r="K94" s="87">
        <v>37128000</v>
      </c>
      <c r="L94" s="86">
        <v>0.19</v>
      </c>
      <c r="M94" s="87">
        <v>7054320</v>
      </c>
      <c r="N94" s="87">
        <v>44182320</v>
      </c>
      <c r="O94" s="82" t="s">
        <v>343</v>
      </c>
      <c r="P94" s="82" t="s">
        <v>344</v>
      </c>
      <c r="Q94" s="114">
        <v>44182320</v>
      </c>
      <c r="R94" s="87"/>
      <c r="S94" s="87"/>
      <c r="T94" s="87"/>
      <c r="U94" s="82" t="s">
        <v>641</v>
      </c>
      <c r="V94" s="88" t="s">
        <v>653</v>
      </c>
      <c r="W94" s="96">
        <v>37128000</v>
      </c>
      <c r="X94" s="91" t="s">
        <v>347</v>
      </c>
      <c r="Y94" s="91" t="s">
        <v>347</v>
      </c>
      <c r="Z94" s="91" t="s">
        <v>654</v>
      </c>
    </row>
    <row r="95" spans="1:26" ht="43" customHeight="1" x14ac:dyDescent="0.35">
      <c r="A95" s="81" t="s">
        <v>337</v>
      </c>
      <c r="B95" s="82" t="s">
        <v>637</v>
      </c>
      <c r="C95" s="82" t="s">
        <v>638</v>
      </c>
      <c r="D95" s="125">
        <v>86132000</v>
      </c>
      <c r="E95" s="82" t="s">
        <v>655</v>
      </c>
      <c r="F95" s="82" t="s">
        <v>655</v>
      </c>
      <c r="G95" s="83" t="s">
        <v>49</v>
      </c>
      <c r="H95" s="83" t="s">
        <v>50</v>
      </c>
      <c r="I95" s="83">
        <v>1</v>
      </c>
      <c r="J95" s="84" t="s">
        <v>350</v>
      </c>
      <c r="K95" s="87">
        <v>24310000</v>
      </c>
      <c r="L95" s="86">
        <v>0.19</v>
      </c>
      <c r="M95" s="87">
        <v>4618900</v>
      </c>
      <c r="N95" s="87">
        <v>28928900</v>
      </c>
      <c r="O95" s="82" t="s">
        <v>343</v>
      </c>
      <c r="P95" s="82" t="s">
        <v>344</v>
      </c>
      <c r="Q95" s="114">
        <v>28928900</v>
      </c>
      <c r="R95" s="87"/>
      <c r="S95" s="87"/>
      <c r="T95" s="87"/>
      <c r="U95" s="82" t="s">
        <v>656</v>
      </c>
      <c r="V95" s="88" t="s">
        <v>653</v>
      </c>
      <c r="W95" s="96">
        <v>24310000</v>
      </c>
      <c r="X95" s="91" t="s">
        <v>657</v>
      </c>
      <c r="Y95" s="91" t="s">
        <v>658</v>
      </c>
      <c r="Z95" s="91" t="s">
        <v>659</v>
      </c>
    </row>
    <row r="96" spans="1:26" ht="43" customHeight="1" x14ac:dyDescent="0.35">
      <c r="A96" s="81" t="s">
        <v>337</v>
      </c>
      <c r="B96" s="82" t="s">
        <v>637</v>
      </c>
      <c r="C96" s="82" t="s">
        <v>638</v>
      </c>
      <c r="D96" s="105" t="s">
        <v>513</v>
      </c>
      <c r="E96" s="82" t="e">
        <v>#REF!</v>
      </c>
      <c r="F96" s="82" t="s">
        <v>660</v>
      </c>
      <c r="G96" s="83" t="s">
        <v>49</v>
      </c>
      <c r="H96" s="83" t="s">
        <v>50</v>
      </c>
      <c r="I96" s="83">
        <v>4</v>
      </c>
      <c r="J96" s="84" t="s">
        <v>350</v>
      </c>
      <c r="K96" s="87">
        <v>18896502</v>
      </c>
      <c r="L96" s="86">
        <v>0.19</v>
      </c>
      <c r="M96" s="87">
        <v>3590335.38</v>
      </c>
      <c r="N96" s="87">
        <v>22486837.379999999</v>
      </c>
      <c r="O96" s="82" t="s">
        <v>343</v>
      </c>
      <c r="P96" s="82" t="s">
        <v>344</v>
      </c>
      <c r="Q96" s="114">
        <v>22486837.379999999</v>
      </c>
      <c r="R96" s="87"/>
      <c r="S96" s="87"/>
      <c r="T96" s="87"/>
      <c r="U96" s="82" t="s">
        <v>641</v>
      </c>
      <c r="V96" s="88" t="s">
        <v>653</v>
      </c>
      <c r="W96" s="96">
        <v>18896502</v>
      </c>
      <c r="X96" s="91" t="s">
        <v>347</v>
      </c>
      <c r="Y96" s="91" t="s">
        <v>347</v>
      </c>
      <c r="Z96" s="91" t="s">
        <v>648</v>
      </c>
    </row>
    <row r="97" spans="1:26" ht="43" customHeight="1" x14ac:dyDescent="0.35">
      <c r="A97" s="81" t="s">
        <v>337</v>
      </c>
      <c r="B97" s="82" t="s">
        <v>637</v>
      </c>
      <c r="C97" s="82" t="s">
        <v>661</v>
      </c>
      <c r="D97" s="105" t="s">
        <v>662</v>
      </c>
      <c r="E97" s="82" t="s">
        <v>663</v>
      </c>
      <c r="F97" s="82" t="s">
        <v>664</v>
      </c>
      <c r="G97" s="83" t="s">
        <v>42</v>
      </c>
      <c r="H97" s="83" t="s">
        <v>42</v>
      </c>
      <c r="I97" s="83">
        <v>11</v>
      </c>
      <c r="J97" s="84" t="s">
        <v>350</v>
      </c>
      <c r="K97" s="87">
        <v>4510400</v>
      </c>
      <c r="L97" s="86">
        <v>0.19</v>
      </c>
      <c r="M97" s="87">
        <v>856976</v>
      </c>
      <c r="N97" s="87">
        <v>5367376</v>
      </c>
      <c r="O97" s="82" t="s">
        <v>343</v>
      </c>
      <c r="P97" s="82" t="s">
        <v>344</v>
      </c>
      <c r="Q97" s="114">
        <v>5367376</v>
      </c>
      <c r="R97" s="87"/>
      <c r="S97" s="87"/>
      <c r="T97" s="87"/>
      <c r="U97" s="91" t="s">
        <v>665</v>
      </c>
      <c r="V97" s="88" t="s">
        <v>653</v>
      </c>
      <c r="W97" s="96">
        <v>4510400</v>
      </c>
      <c r="X97" s="91" t="s">
        <v>347</v>
      </c>
      <c r="Y97" s="91" t="s">
        <v>347</v>
      </c>
      <c r="Z97" s="91" t="s">
        <v>666</v>
      </c>
    </row>
    <row r="98" spans="1:26" ht="43" customHeight="1" x14ac:dyDescent="0.35">
      <c r="A98" s="81" t="s">
        <v>337</v>
      </c>
      <c r="B98" s="82" t="s">
        <v>637</v>
      </c>
      <c r="C98" s="82" t="s">
        <v>661</v>
      </c>
      <c r="D98" s="105" t="s">
        <v>667</v>
      </c>
      <c r="E98" s="82" t="s">
        <v>639</v>
      </c>
      <c r="F98" s="82" t="s">
        <v>668</v>
      </c>
      <c r="G98" s="83" t="s">
        <v>42</v>
      </c>
      <c r="H98" s="83" t="s">
        <v>42</v>
      </c>
      <c r="I98" s="83">
        <v>4</v>
      </c>
      <c r="J98" s="84" t="s">
        <v>350</v>
      </c>
      <c r="K98" s="87">
        <v>69655200</v>
      </c>
      <c r="L98" s="86">
        <v>0.19</v>
      </c>
      <c r="M98" s="87">
        <v>13234488</v>
      </c>
      <c r="N98" s="87">
        <v>82889688</v>
      </c>
      <c r="O98" s="82" t="s">
        <v>343</v>
      </c>
      <c r="P98" s="82" t="s">
        <v>344</v>
      </c>
      <c r="Q98" s="87">
        <v>82889688</v>
      </c>
      <c r="R98" s="87"/>
      <c r="S98" s="87"/>
      <c r="T98" s="87"/>
      <c r="U98" s="82" t="s">
        <v>665</v>
      </c>
      <c r="V98" s="88" t="s">
        <v>669</v>
      </c>
      <c r="W98" s="96">
        <v>69655200</v>
      </c>
      <c r="X98" s="91"/>
      <c r="Y98" s="91"/>
      <c r="Z98" s="91"/>
    </row>
    <row r="99" spans="1:26" ht="43" customHeight="1" x14ac:dyDescent="0.35">
      <c r="A99" s="81" t="s">
        <v>337</v>
      </c>
      <c r="B99" s="82" t="s">
        <v>637</v>
      </c>
      <c r="C99" s="82" t="s">
        <v>661</v>
      </c>
      <c r="D99" s="105" t="s">
        <v>667</v>
      </c>
      <c r="E99" s="107" t="s">
        <v>639</v>
      </c>
      <c r="F99" s="82" t="s">
        <v>670</v>
      </c>
      <c r="G99" s="83" t="s">
        <v>45</v>
      </c>
      <c r="H99" s="83" t="s">
        <v>45</v>
      </c>
      <c r="I99" s="83">
        <v>12</v>
      </c>
      <c r="J99" s="84" t="s">
        <v>350</v>
      </c>
      <c r="K99" s="87">
        <v>111465600</v>
      </c>
      <c r="L99" s="86">
        <v>0.19</v>
      </c>
      <c r="M99" s="87">
        <v>21178464</v>
      </c>
      <c r="N99" s="87">
        <v>132644064</v>
      </c>
      <c r="O99" s="82" t="s">
        <v>343</v>
      </c>
      <c r="P99" s="82" t="s">
        <v>344</v>
      </c>
      <c r="Q99" s="114">
        <v>132644064</v>
      </c>
      <c r="R99" s="87"/>
      <c r="S99" s="87"/>
      <c r="T99" s="87"/>
      <c r="U99" s="82" t="s">
        <v>665</v>
      </c>
      <c r="V99" s="88" t="s">
        <v>671</v>
      </c>
      <c r="W99" s="96">
        <v>111465600</v>
      </c>
      <c r="X99" s="91"/>
      <c r="Y99" s="91"/>
      <c r="Z99" s="91"/>
    </row>
    <row r="100" spans="1:26" ht="43" customHeight="1" x14ac:dyDescent="0.35">
      <c r="A100" s="81" t="s">
        <v>337</v>
      </c>
      <c r="B100" s="82" t="s">
        <v>637</v>
      </c>
      <c r="C100" s="82" t="s">
        <v>661</v>
      </c>
      <c r="D100" s="105" t="s">
        <v>667</v>
      </c>
      <c r="E100" s="82" t="s">
        <v>639</v>
      </c>
      <c r="F100" s="82" t="s">
        <v>672</v>
      </c>
      <c r="G100" s="83" t="s">
        <v>43</v>
      </c>
      <c r="H100" s="83" t="s">
        <v>43</v>
      </c>
      <c r="I100" s="83">
        <v>12</v>
      </c>
      <c r="J100" s="84" t="s">
        <v>350</v>
      </c>
      <c r="K100" s="87">
        <v>628600000</v>
      </c>
      <c r="L100" s="86">
        <v>0.19</v>
      </c>
      <c r="M100" s="87">
        <v>119434000</v>
      </c>
      <c r="N100" s="87">
        <v>748034000</v>
      </c>
      <c r="O100" s="82" t="s">
        <v>343</v>
      </c>
      <c r="P100" s="82" t="s">
        <v>344</v>
      </c>
      <c r="Q100" s="114">
        <v>748034000</v>
      </c>
      <c r="R100" s="87"/>
      <c r="S100" s="87"/>
      <c r="T100" s="87"/>
      <c r="U100" s="82" t="s">
        <v>665</v>
      </c>
      <c r="V100" s="88" t="s">
        <v>673</v>
      </c>
      <c r="W100" s="96">
        <v>628600000</v>
      </c>
      <c r="X100" s="91"/>
      <c r="Y100" s="91"/>
      <c r="Z100" s="91"/>
    </row>
    <row r="101" spans="1:26" ht="43" customHeight="1" x14ac:dyDescent="0.35">
      <c r="A101" s="81" t="s">
        <v>337</v>
      </c>
      <c r="B101" s="82" t="s">
        <v>637</v>
      </c>
      <c r="C101" s="82" t="s">
        <v>661</v>
      </c>
      <c r="D101" s="105" t="s">
        <v>667</v>
      </c>
      <c r="E101" s="107" t="s">
        <v>639</v>
      </c>
      <c r="F101" s="82" t="s">
        <v>674</v>
      </c>
      <c r="G101" s="83" t="s">
        <v>42</v>
      </c>
      <c r="H101" s="83" t="s">
        <v>42</v>
      </c>
      <c r="I101" s="83">
        <v>12</v>
      </c>
      <c r="J101" s="84" t="s">
        <v>350</v>
      </c>
      <c r="K101" s="87">
        <v>356485181.55053973</v>
      </c>
      <c r="L101" s="86">
        <v>0.19</v>
      </c>
      <c r="M101" s="87">
        <v>67732184.494602546</v>
      </c>
      <c r="N101" s="87">
        <v>424217366.04514229</v>
      </c>
      <c r="O101" s="82" t="s">
        <v>343</v>
      </c>
      <c r="P101" s="82" t="s">
        <v>344</v>
      </c>
      <c r="Q101" s="114">
        <v>424217366</v>
      </c>
      <c r="R101" s="87"/>
      <c r="S101" s="87"/>
      <c r="T101" s="87"/>
      <c r="U101" s="82" t="s">
        <v>665</v>
      </c>
      <c r="V101" s="88" t="s">
        <v>675</v>
      </c>
      <c r="W101" s="96">
        <v>356485181.55053973</v>
      </c>
      <c r="X101" s="91"/>
      <c r="Y101" s="91"/>
      <c r="Z101" s="91"/>
    </row>
    <row r="102" spans="1:26" ht="43" customHeight="1" x14ac:dyDescent="0.35">
      <c r="A102" s="81" t="s">
        <v>337</v>
      </c>
      <c r="B102" s="91" t="s">
        <v>637</v>
      </c>
      <c r="C102" s="91" t="s">
        <v>661</v>
      </c>
      <c r="D102" s="105" t="s">
        <v>667</v>
      </c>
      <c r="E102" s="91" t="s">
        <v>639</v>
      </c>
      <c r="F102" s="91" t="s">
        <v>676</v>
      </c>
      <c r="G102" s="83" t="s">
        <v>42</v>
      </c>
      <c r="H102" s="83" t="s">
        <v>42</v>
      </c>
      <c r="I102" s="100">
        <v>12</v>
      </c>
      <c r="J102" s="84" t="s">
        <v>350</v>
      </c>
      <c r="K102" s="128">
        <v>14950000000</v>
      </c>
      <c r="L102" s="129">
        <v>0.19</v>
      </c>
      <c r="M102" s="87">
        <v>2840500000</v>
      </c>
      <c r="N102" s="128">
        <v>17790500000</v>
      </c>
      <c r="O102" s="91" t="s">
        <v>343</v>
      </c>
      <c r="P102" s="82" t="s">
        <v>344</v>
      </c>
      <c r="Q102" s="114">
        <v>17790500000</v>
      </c>
      <c r="R102" s="128"/>
      <c r="S102" s="128"/>
      <c r="T102" s="128"/>
      <c r="U102" s="82" t="s">
        <v>665</v>
      </c>
      <c r="V102" s="130"/>
      <c r="W102" s="96">
        <v>14950000000</v>
      </c>
      <c r="X102" s="91"/>
      <c r="Y102" s="91"/>
      <c r="Z102" s="91"/>
    </row>
    <row r="103" spans="1:26" ht="43" customHeight="1" x14ac:dyDescent="0.35">
      <c r="A103" s="81" t="s">
        <v>337</v>
      </c>
      <c r="B103" s="82" t="s">
        <v>637</v>
      </c>
      <c r="C103" s="82" t="s">
        <v>661</v>
      </c>
      <c r="D103" s="105" t="s">
        <v>667</v>
      </c>
      <c r="E103" s="107" t="s">
        <v>639</v>
      </c>
      <c r="F103" s="82" t="s">
        <v>677</v>
      </c>
      <c r="G103" s="83" t="s">
        <v>42</v>
      </c>
      <c r="H103" s="83" t="s">
        <v>42</v>
      </c>
      <c r="I103" s="83">
        <v>12</v>
      </c>
      <c r="J103" s="84" t="s">
        <v>350</v>
      </c>
      <c r="K103" s="87">
        <v>150000000</v>
      </c>
      <c r="L103" s="86">
        <v>0.19</v>
      </c>
      <c r="M103" s="87">
        <v>28500000</v>
      </c>
      <c r="N103" s="87">
        <v>178500000</v>
      </c>
      <c r="O103" s="82" t="s">
        <v>343</v>
      </c>
      <c r="P103" s="82" t="s">
        <v>344</v>
      </c>
      <c r="Q103" s="87">
        <v>178500000</v>
      </c>
      <c r="R103" s="87"/>
      <c r="S103" s="87"/>
      <c r="T103" s="87"/>
      <c r="U103" s="82" t="s">
        <v>665</v>
      </c>
      <c r="V103" s="88" t="s">
        <v>678</v>
      </c>
      <c r="W103" s="96">
        <v>150000000</v>
      </c>
      <c r="X103" s="91"/>
      <c r="Y103" s="91"/>
      <c r="Z103" s="91"/>
    </row>
    <row r="104" spans="1:26" ht="43" customHeight="1" x14ac:dyDescent="0.35">
      <c r="A104" s="81" t="s">
        <v>337</v>
      </c>
      <c r="B104" s="82" t="s">
        <v>637</v>
      </c>
      <c r="C104" s="82" t="s">
        <v>661</v>
      </c>
      <c r="D104" s="105" t="s">
        <v>667</v>
      </c>
      <c r="E104" s="82" t="s">
        <v>639</v>
      </c>
      <c r="F104" s="82" t="s">
        <v>677</v>
      </c>
      <c r="G104" s="83" t="s">
        <v>42</v>
      </c>
      <c r="H104" s="83" t="s">
        <v>42</v>
      </c>
      <c r="I104" s="83">
        <v>12</v>
      </c>
      <c r="J104" s="84" t="s">
        <v>350</v>
      </c>
      <c r="K104" s="87">
        <v>150000000</v>
      </c>
      <c r="L104" s="86">
        <v>0.19</v>
      </c>
      <c r="M104" s="87">
        <v>28500000</v>
      </c>
      <c r="N104" s="87">
        <v>178500000</v>
      </c>
      <c r="O104" s="82" t="s">
        <v>343</v>
      </c>
      <c r="P104" s="82" t="s">
        <v>344</v>
      </c>
      <c r="Q104" s="87">
        <v>178500000</v>
      </c>
      <c r="R104" s="87"/>
      <c r="S104" s="87"/>
      <c r="T104" s="87"/>
      <c r="U104" s="82" t="s">
        <v>665</v>
      </c>
      <c r="V104" s="88" t="s">
        <v>678</v>
      </c>
      <c r="W104" s="96">
        <v>150000000</v>
      </c>
      <c r="X104" s="91"/>
      <c r="Y104" s="91"/>
      <c r="Z104" s="91"/>
    </row>
    <row r="105" spans="1:26" ht="43" customHeight="1" x14ac:dyDescent="0.35">
      <c r="A105" s="81" t="s">
        <v>337</v>
      </c>
      <c r="B105" s="82" t="s">
        <v>637</v>
      </c>
      <c r="C105" s="82" t="s">
        <v>661</v>
      </c>
      <c r="D105" s="105" t="s">
        <v>667</v>
      </c>
      <c r="E105" s="107" t="s">
        <v>639</v>
      </c>
      <c r="F105" s="82" t="s">
        <v>677</v>
      </c>
      <c r="G105" s="83" t="s">
        <v>43</v>
      </c>
      <c r="H105" s="83" t="s">
        <v>43</v>
      </c>
      <c r="I105" s="83">
        <v>12</v>
      </c>
      <c r="J105" s="84" t="s">
        <v>350</v>
      </c>
      <c r="K105" s="87">
        <v>150000000</v>
      </c>
      <c r="L105" s="86">
        <v>0.19</v>
      </c>
      <c r="M105" s="87">
        <v>28500000</v>
      </c>
      <c r="N105" s="87">
        <v>178500000</v>
      </c>
      <c r="O105" s="82" t="s">
        <v>343</v>
      </c>
      <c r="P105" s="82" t="s">
        <v>344</v>
      </c>
      <c r="Q105" s="87">
        <v>178500000</v>
      </c>
      <c r="R105" s="87"/>
      <c r="S105" s="87"/>
      <c r="T105" s="87"/>
      <c r="U105" s="82" t="s">
        <v>665</v>
      </c>
      <c r="V105" s="88" t="s">
        <v>678</v>
      </c>
      <c r="W105" s="96">
        <v>150000000</v>
      </c>
      <c r="X105" s="91"/>
      <c r="Y105" s="91"/>
      <c r="Z105" s="91"/>
    </row>
    <row r="106" spans="1:26" ht="43" customHeight="1" x14ac:dyDescent="0.35">
      <c r="A106" s="81" t="s">
        <v>337</v>
      </c>
      <c r="B106" s="82" t="s">
        <v>637</v>
      </c>
      <c r="C106" s="82" t="s">
        <v>661</v>
      </c>
      <c r="D106" s="105" t="s">
        <v>667</v>
      </c>
      <c r="E106" s="82" t="s">
        <v>639</v>
      </c>
      <c r="F106" s="82" t="s">
        <v>677</v>
      </c>
      <c r="G106" s="83" t="s">
        <v>43</v>
      </c>
      <c r="H106" s="83" t="s">
        <v>43</v>
      </c>
      <c r="I106" s="83">
        <v>12</v>
      </c>
      <c r="J106" s="84" t="s">
        <v>350</v>
      </c>
      <c r="K106" s="87">
        <v>150000000</v>
      </c>
      <c r="L106" s="86">
        <v>0.19</v>
      </c>
      <c r="M106" s="87">
        <v>28500000</v>
      </c>
      <c r="N106" s="87">
        <v>178500000</v>
      </c>
      <c r="O106" s="82" t="s">
        <v>343</v>
      </c>
      <c r="P106" s="82" t="s">
        <v>344</v>
      </c>
      <c r="Q106" s="87">
        <v>178500000</v>
      </c>
      <c r="R106" s="87"/>
      <c r="S106" s="87"/>
      <c r="T106" s="87"/>
      <c r="U106" s="82" t="s">
        <v>665</v>
      </c>
      <c r="V106" s="88" t="s">
        <v>678</v>
      </c>
      <c r="W106" s="96">
        <v>150000000</v>
      </c>
      <c r="X106" s="91"/>
      <c r="Y106" s="91"/>
      <c r="Z106" s="91"/>
    </row>
    <row r="107" spans="1:26" ht="43" customHeight="1" x14ac:dyDescent="0.35">
      <c r="A107" s="81" t="s">
        <v>337</v>
      </c>
      <c r="B107" s="82" t="s">
        <v>637</v>
      </c>
      <c r="C107" s="82" t="s">
        <v>661</v>
      </c>
      <c r="D107" s="105" t="s">
        <v>667</v>
      </c>
      <c r="E107" s="107" t="s">
        <v>639</v>
      </c>
      <c r="F107" s="82" t="s">
        <v>677</v>
      </c>
      <c r="G107" s="83" t="s">
        <v>44</v>
      </c>
      <c r="H107" s="83" t="s">
        <v>44</v>
      </c>
      <c r="I107" s="83">
        <v>12</v>
      </c>
      <c r="J107" s="84" t="s">
        <v>350</v>
      </c>
      <c r="K107" s="87">
        <v>150000000</v>
      </c>
      <c r="L107" s="86">
        <v>0.19</v>
      </c>
      <c r="M107" s="87">
        <v>28500000</v>
      </c>
      <c r="N107" s="87">
        <v>178500000</v>
      </c>
      <c r="O107" s="82" t="s">
        <v>343</v>
      </c>
      <c r="P107" s="82" t="s">
        <v>344</v>
      </c>
      <c r="Q107" s="87">
        <v>178500000</v>
      </c>
      <c r="R107" s="87"/>
      <c r="S107" s="87"/>
      <c r="T107" s="87"/>
      <c r="U107" s="82" t="s">
        <v>665</v>
      </c>
      <c r="V107" s="88" t="s">
        <v>678</v>
      </c>
      <c r="W107" s="96">
        <v>150000000</v>
      </c>
      <c r="X107" s="91"/>
      <c r="Y107" s="91"/>
      <c r="Z107" s="91"/>
    </row>
    <row r="108" spans="1:26" ht="43" customHeight="1" x14ac:dyDescent="0.35">
      <c r="A108" s="81" t="s">
        <v>337</v>
      </c>
      <c r="B108" s="82" t="s">
        <v>637</v>
      </c>
      <c r="C108" s="82" t="s">
        <v>661</v>
      </c>
      <c r="D108" s="105" t="s">
        <v>667</v>
      </c>
      <c r="E108" s="82" t="s">
        <v>639</v>
      </c>
      <c r="F108" s="82" t="s">
        <v>677</v>
      </c>
      <c r="G108" s="83" t="s">
        <v>44</v>
      </c>
      <c r="H108" s="83" t="s">
        <v>44</v>
      </c>
      <c r="I108" s="83">
        <v>12</v>
      </c>
      <c r="J108" s="84" t="s">
        <v>350</v>
      </c>
      <c r="K108" s="87">
        <v>150000000</v>
      </c>
      <c r="L108" s="86">
        <v>0.19</v>
      </c>
      <c r="M108" s="87">
        <v>28500000</v>
      </c>
      <c r="N108" s="87">
        <v>178500000</v>
      </c>
      <c r="O108" s="82" t="s">
        <v>343</v>
      </c>
      <c r="P108" s="82" t="s">
        <v>344</v>
      </c>
      <c r="Q108" s="87">
        <v>178500000</v>
      </c>
      <c r="R108" s="87"/>
      <c r="S108" s="87"/>
      <c r="T108" s="87"/>
      <c r="U108" s="82" t="s">
        <v>665</v>
      </c>
      <c r="V108" s="88" t="s">
        <v>678</v>
      </c>
      <c r="W108" s="96">
        <v>150000000</v>
      </c>
      <c r="X108" s="91"/>
      <c r="Y108" s="91"/>
      <c r="Z108" s="91"/>
    </row>
    <row r="109" spans="1:26" ht="43" customHeight="1" x14ac:dyDescent="0.35">
      <c r="A109" s="81" t="s">
        <v>337</v>
      </c>
      <c r="B109" s="82" t="s">
        <v>637</v>
      </c>
      <c r="C109" s="82" t="s">
        <v>661</v>
      </c>
      <c r="D109" s="105" t="s">
        <v>667</v>
      </c>
      <c r="E109" s="107" t="s">
        <v>639</v>
      </c>
      <c r="F109" s="82" t="s">
        <v>677</v>
      </c>
      <c r="G109" s="83" t="s">
        <v>45</v>
      </c>
      <c r="H109" s="83" t="s">
        <v>45</v>
      </c>
      <c r="I109" s="83">
        <v>12</v>
      </c>
      <c r="J109" s="84" t="s">
        <v>350</v>
      </c>
      <c r="K109" s="87">
        <v>150000000</v>
      </c>
      <c r="L109" s="86">
        <v>0.19</v>
      </c>
      <c r="M109" s="87">
        <v>28500000</v>
      </c>
      <c r="N109" s="87">
        <v>178500000</v>
      </c>
      <c r="O109" s="82" t="s">
        <v>343</v>
      </c>
      <c r="P109" s="82" t="s">
        <v>344</v>
      </c>
      <c r="Q109" s="87">
        <v>178500000</v>
      </c>
      <c r="R109" s="87"/>
      <c r="S109" s="87"/>
      <c r="T109" s="87"/>
      <c r="U109" s="82" t="s">
        <v>665</v>
      </c>
      <c r="V109" s="88" t="s">
        <v>678</v>
      </c>
      <c r="W109" s="96">
        <v>150000000</v>
      </c>
      <c r="X109" s="91"/>
      <c r="Y109" s="91"/>
      <c r="Z109" s="91"/>
    </row>
    <row r="110" spans="1:26" ht="43" customHeight="1" x14ac:dyDescent="0.35">
      <c r="A110" s="81" t="s">
        <v>337</v>
      </c>
      <c r="B110" s="82" t="s">
        <v>637</v>
      </c>
      <c r="C110" s="82" t="s">
        <v>661</v>
      </c>
      <c r="D110" s="105" t="s">
        <v>667</v>
      </c>
      <c r="E110" s="107" t="s">
        <v>639</v>
      </c>
      <c r="F110" s="82" t="s">
        <v>677</v>
      </c>
      <c r="G110" s="83" t="s">
        <v>45</v>
      </c>
      <c r="H110" s="83" t="s">
        <v>45</v>
      </c>
      <c r="I110" s="83">
        <v>12</v>
      </c>
      <c r="J110" s="84" t="s">
        <v>350</v>
      </c>
      <c r="K110" s="87">
        <v>150000000</v>
      </c>
      <c r="L110" s="86">
        <v>0.19</v>
      </c>
      <c r="M110" s="87">
        <v>28500000</v>
      </c>
      <c r="N110" s="87">
        <v>178500000</v>
      </c>
      <c r="O110" s="82" t="s">
        <v>343</v>
      </c>
      <c r="P110" s="82" t="s">
        <v>344</v>
      </c>
      <c r="Q110" s="87">
        <v>178500000</v>
      </c>
      <c r="R110" s="87"/>
      <c r="S110" s="87"/>
      <c r="T110" s="87"/>
      <c r="U110" s="82" t="s">
        <v>665</v>
      </c>
      <c r="V110" s="88" t="s">
        <v>678</v>
      </c>
      <c r="W110" s="96">
        <v>150000000</v>
      </c>
      <c r="X110" s="91"/>
      <c r="Y110" s="91"/>
      <c r="Z110" s="91"/>
    </row>
    <row r="111" spans="1:26" ht="43" customHeight="1" x14ac:dyDescent="0.35">
      <c r="A111" s="81" t="s">
        <v>337</v>
      </c>
      <c r="B111" s="82" t="s">
        <v>637</v>
      </c>
      <c r="C111" s="82" t="s">
        <v>661</v>
      </c>
      <c r="D111" s="105" t="s">
        <v>667</v>
      </c>
      <c r="E111" s="107" t="s">
        <v>639</v>
      </c>
      <c r="F111" s="82" t="s">
        <v>677</v>
      </c>
      <c r="G111" s="83" t="s">
        <v>46</v>
      </c>
      <c r="H111" s="83" t="s">
        <v>46</v>
      </c>
      <c r="I111" s="83">
        <v>12</v>
      </c>
      <c r="J111" s="84" t="s">
        <v>350</v>
      </c>
      <c r="K111" s="87">
        <v>150000000</v>
      </c>
      <c r="L111" s="86">
        <v>0.19</v>
      </c>
      <c r="M111" s="87">
        <v>28500000</v>
      </c>
      <c r="N111" s="87">
        <v>178500000</v>
      </c>
      <c r="O111" s="82" t="s">
        <v>343</v>
      </c>
      <c r="P111" s="82" t="s">
        <v>344</v>
      </c>
      <c r="Q111" s="87">
        <v>178500000</v>
      </c>
      <c r="R111" s="87"/>
      <c r="S111" s="87"/>
      <c r="T111" s="87"/>
      <c r="U111" s="82" t="s">
        <v>665</v>
      </c>
      <c r="V111" s="88" t="s">
        <v>678</v>
      </c>
      <c r="W111" s="96">
        <v>150000000</v>
      </c>
      <c r="X111" s="91"/>
      <c r="Y111" s="91"/>
      <c r="Z111" s="91"/>
    </row>
    <row r="112" spans="1:26" ht="43" customHeight="1" x14ac:dyDescent="0.35">
      <c r="A112" s="81" t="s">
        <v>337</v>
      </c>
      <c r="B112" s="82" t="s">
        <v>637</v>
      </c>
      <c r="C112" s="82" t="s">
        <v>661</v>
      </c>
      <c r="D112" s="105" t="s">
        <v>667</v>
      </c>
      <c r="E112" s="82" t="s">
        <v>639</v>
      </c>
      <c r="F112" s="82" t="s">
        <v>677</v>
      </c>
      <c r="G112" s="83" t="s">
        <v>46</v>
      </c>
      <c r="H112" s="83" t="s">
        <v>46</v>
      </c>
      <c r="I112" s="83">
        <v>12</v>
      </c>
      <c r="J112" s="84" t="s">
        <v>350</v>
      </c>
      <c r="K112" s="87">
        <v>150000000</v>
      </c>
      <c r="L112" s="86">
        <v>0.19</v>
      </c>
      <c r="M112" s="87">
        <v>28500000</v>
      </c>
      <c r="N112" s="87">
        <v>178500000</v>
      </c>
      <c r="O112" s="82" t="s">
        <v>343</v>
      </c>
      <c r="P112" s="82" t="s">
        <v>344</v>
      </c>
      <c r="Q112" s="87">
        <v>178500000</v>
      </c>
      <c r="R112" s="87"/>
      <c r="S112" s="87"/>
      <c r="T112" s="87"/>
      <c r="U112" s="82" t="s">
        <v>665</v>
      </c>
      <c r="V112" s="88" t="s">
        <v>678</v>
      </c>
      <c r="W112" s="96">
        <v>150000000</v>
      </c>
      <c r="X112" s="91"/>
      <c r="Y112" s="91"/>
      <c r="Z112" s="91"/>
    </row>
    <row r="113" spans="1:26" ht="43" customHeight="1" x14ac:dyDescent="0.35">
      <c r="A113" s="81" t="s">
        <v>337</v>
      </c>
      <c r="B113" s="82" t="s">
        <v>637</v>
      </c>
      <c r="C113" s="82" t="s">
        <v>661</v>
      </c>
      <c r="D113" s="105" t="s">
        <v>667</v>
      </c>
      <c r="E113" s="107" t="s">
        <v>639</v>
      </c>
      <c r="F113" s="82" t="s">
        <v>677</v>
      </c>
      <c r="G113" s="83" t="s">
        <v>47</v>
      </c>
      <c r="H113" s="83" t="s">
        <v>47</v>
      </c>
      <c r="I113" s="83">
        <v>12</v>
      </c>
      <c r="J113" s="84" t="s">
        <v>350</v>
      </c>
      <c r="K113" s="87">
        <v>150000000</v>
      </c>
      <c r="L113" s="86">
        <v>0.19</v>
      </c>
      <c r="M113" s="87">
        <v>28500000</v>
      </c>
      <c r="N113" s="87">
        <v>178500000</v>
      </c>
      <c r="O113" s="82" t="s">
        <v>343</v>
      </c>
      <c r="P113" s="82" t="s">
        <v>344</v>
      </c>
      <c r="Q113" s="87">
        <v>178500000</v>
      </c>
      <c r="R113" s="87"/>
      <c r="S113" s="87"/>
      <c r="T113" s="87"/>
      <c r="U113" s="82" t="s">
        <v>665</v>
      </c>
      <c r="V113" s="88" t="s">
        <v>678</v>
      </c>
      <c r="W113" s="96">
        <v>150000000</v>
      </c>
      <c r="X113" s="91"/>
      <c r="Y113" s="91"/>
      <c r="Z113" s="91"/>
    </row>
    <row r="114" spans="1:26" ht="43" customHeight="1" x14ac:dyDescent="0.35">
      <c r="A114" s="81" t="s">
        <v>337</v>
      </c>
      <c r="B114" s="82" t="s">
        <v>637</v>
      </c>
      <c r="C114" s="82" t="s">
        <v>661</v>
      </c>
      <c r="D114" s="105" t="s">
        <v>667</v>
      </c>
      <c r="E114" s="82" t="s">
        <v>639</v>
      </c>
      <c r="F114" s="82" t="s">
        <v>677</v>
      </c>
      <c r="G114" s="83" t="s">
        <v>47</v>
      </c>
      <c r="H114" s="83" t="s">
        <v>47</v>
      </c>
      <c r="I114" s="83">
        <v>12</v>
      </c>
      <c r="J114" s="84" t="s">
        <v>350</v>
      </c>
      <c r="K114" s="87">
        <v>150000000</v>
      </c>
      <c r="L114" s="86">
        <v>0.19</v>
      </c>
      <c r="M114" s="87">
        <v>28500000</v>
      </c>
      <c r="N114" s="87">
        <v>178500000</v>
      </c>
      <c r="O114" s="82" t="s">
        <v>343</v>
      </c>
      <c r="P114" s="82" t="s">
        <v>344</v>
      </c>
      <c r="Q114" s="87">
        <v>178500000</v>
      </c>
      <c r="R114" s="87"/>
      <c r="S114" s="87"/>
      <c r="T114" s="87"/>
      <c r="U114" s="82" t="s">
        <v>665</v>
      </c>
      <c r="V114" s="88" t="s">
        <v>678</v>
      </c>
      <c r="W114" s="96">
        <v>150000000</v>
      </c>
      <c r="X114" s="91"/>
      <c r="Y114" s="91"/>
      <c r="Z114" s="91"/>
    </row>
    <row r="115" spans="1:26" ht="43" customHeight="1" x14ac:dyDescent="0.35">
      <c r="A115" s="81" t="s">
        <v>337</v>
      </c>
      <c r="B115" s="82" t="s">
        <v>637</v>
      </c>
      <c r="C115" s="82" t="s">
        <v>661</v>
      </c>
      <c r="D115" s="105" t="s">
        <v>667</v>
      </c>
      <c r="E115" s="107" t="s">
        <v>639</v>
      </c>
      <c r="F115" s="82" t="s">
        <v>677</v>
      </c>
      <c r="G115" s="83" t="s">
        <v>48</v>
      </c>
      <c r="H115" s="83" t="s">
        <v>48</v>
      </c>
      <c r="I115" s="83">
        <v>12</v>
      </c>
      <c r="J115" s="84" t="s">
        <v>350</v>
      </c>
      <c r="K115" s="87">
        <v>150000000</v>
      </c>
      <c r="L115" s="86">
        <v>0.19</v>
      </c>
      <c r="M115" s="87">
        <v>28500000</v>
      </c>
      <c r="N115" s="87">
        <v>178500000</v>
      </c>
      <c r="O115" s="82" t="s">
        <v>343</v>
      </c>
      <c r="P115" s="82" t="s">
        <v>344</v>
      </c>
      <c r="Q115" s="87">
        <v>178500000</v>
      </c>
      <c r="R115" s="87"/>
      <c r="S115" s="87"/>
      <c r="T115" s="87"/>
      <c r="U115" s="82" t="s">
        <v>665</v>
      </c>
      <c r="V115" s="88" t="s">
        <v>678</v>
      </c>
      <c r="W115" s="96">
        <v>150000000</v>
      </c>
      <c r="X115" s="91"/>
      <c r="Y115" s="91"/>
      <c r="Z115" s="91"/>
    </row>
    <row r="116" spans="1:26" ht="43" customHeight="1" x14ac:dyDescent="0.35">
      <c r="A116" s="81" t="s">
        <v>337</v>
      </c>
      <c r="B116" s="82" t="s">
        <v>637</v>
      </c>
      <c r="C116" s="82" t="s">
        <v>661</v>
      </c>
      <c r="D116" s="105" t="s">
        <v>667</v>
      </c>
      <c r="E116" s="82" t="s">
        <v>639</v>
      </c>
      <c r="F116" s="82" t="s">
        <v>677</v>
      </c>
      <c r="G116" s="83" t="s">
        <v>49</v>
      </c>
      <c r="H116" s="83" t="s">
        <v>49</v>
      </c>
      <c r="I116" s="83">
        <v>12</v>
      </c>
      <c r="J116" s="84" t="s">
        <v>350</v>
      </c>
      <c r="K116" s="87">
        <v>150000000</v>
      </c>
      <c r="L116" s="86">
        <v>0.19</v>
      </c>
      <c r="M116" s="87">
        <v>28500000</v>
      </c>
      <c r="N116" s="87">
        <v>178500000</v>
      </c>
      <c r="O116" s="82" t="s">
        <v>343</v>
      </c>
      <c r="P116" s="82" t="s">
        <v>344</v>
      </c>
      <c r="Q116" s="87">
        <v>178500000</v>
      </c>
      <c r="R116" s="87"/>
      <c r="S116" s="87"/>
      <c r="T116" s="87"/>
      <c r="U116" s="82" t="s">
        <v>665</v>
      </c>
      <c r="V116" s="88" t="s">
        <v>678</v>
      </c>
      <c r="W116" s="96">
        <v>150000000</v>
      </c>
      <c r="X116" s="91"/>
      <c r="Y116" s="91"/>
      <c r="Z116" s="91"/>
    </row>
    <row r="117" spans="1:26" ht="43" customHeight="1" x14ac:dyDescent="0.35">
      <c r="A117" s="81" t="s">
        <v>337</v>
      </c>
      <c r="B117" s="82" t="s">
        <v>637</v>
      </c>
      <c r="C117" s="82" t="s">
        <v>661</v>
      </c>
      <c r="D117" s="105" t="s">
        <v>667</v>
      </c>
      <c r="E117" s="82" t="s">
        <v>639</v>
      </c>
      <c r="F117" s="82" t="s">
        <v>677</v>
      </c>
      <c r="G117" s="83" t="s">
        <v>50</v>
      </c>
      <c r="H117" s="83" t="s">
        <v>50</v>
      </c>
      <c r="I117" s="83">
        <v>12</v>
      </c>
      <c r="J117" s="84" t="s">
        <v>350</v>
      </c>
      <c r="K117" s="87">
        <v>150000000</v>
      </c>
      <c r="L117" s="86">
        <v>0.19</v>
      </c>
      <c r="M117" s="87">
        <v>28500000</v>
      </c>
      <c r="N117" s="87">
        <v>178500000</v>
      </c>
      <c r="O117" s="82" t="s">
        <v>343</v>
      </c>
      <c r="P117" s="82" t="s">
        <v>344</v>
      </c>
      <c r="Q117" s="87">
        <v>178500000</v>
      </c>
      <c r="R117" s="87"/>
      <c r="S117" s="87"/>
      <c r="T117" s="87"/>
      <c r="U117" s="82" t="s">
        <v>665</v>
      </c>
      <c r="V117" s="88" t="s">
        <v>678</v>
      </c>
      <c r="W117" s="96">
        <v>150000000</v>
      </c>
      <c r="X117" s="91"/>
      <c r="Y117" s="91"/>
      <c r="Z117" s="91"/>
    </row>
    <row r="118" spans="1:26" ht="43" customHeight="1" x14ac:dyDescent="0.35">
      <c r="A118" s="81" t="s">
        <v>337</v>
      </c>
      <c r="B118" s="82" t="s">
        <v>637</v>
      </c>
      <c r="C118" s="82" t="s">
        <v>661</v>
      </c>
      <c r="D118" s="105" t="s">
        <v>667</v>
      </c>
      <c r="E118" s="82" t="s">
        <v>639</v>
      </c>
      <c r="F118" s="82" t="s">
        <v>677</v>
      </c>
      <c r="G118" s="83" t="s">
        <v>51</v>
      </c>
      <c r="H118" s="83" t="s">
        <v>51</v>
      </c>
      <c r="I118" s="83">
        <v>12</v>
      </c>
      <c r="J118" s="84" t="s">
        <v>350</v>
      </c>
      <c r="K118" s="87">
        <v>150000000</v>
      </c>
      <c r="L118" s="86">
        <v>0.19</v>
      </c>
      <c r="M118" s="87">
        <v>28500000</v>
      </c>
      <c r="N118" s="87">
        <v>178500000</v>
      </c>
      <c r="O118" s="82" t="s">
        <v>343</v>
      </c>
      <c r="P118" s="82" t="s">
        <v>344</v>
      </c>
      <c r="Q118" s="87">
        <v>178500000</v>
      </c>
      <c r="R118" s="87"/>
      <c r="S118" s="87"/>
      <c r="T118" s="87"/>
      <c r="U118" s="82" t="s">
        <v>665</v>
      </c>
      <c r="V118" s="88" t="s">
        <v>678</v>
      </c>
      <c r="W118" s="96">
        <v>150000000</v>
      </c>
      <c r="X118" s="91"/>
      <c r="Y118" s="91"/>
      <c r="Z118" s="91"/>
    </row>
    <row r="119" spans="1:26" ht="43" customHeight="1" x14ac:dyDescent="0.35">
      <c r="A119" s="81" t="s">
        <v>337</v>
      </c>
      <c r="B119" s="82" t="s">
        <v>679</v>
      </c>
      <c r="C119" s="82" t="s">
        <v>160</v>
      </c>
      <c r="D119" s="83">
        <v>80101510</v>
      </c>
      <c r="E119" s="82" t="s">
        <v>420</v>
      </c>
      <c r="F119" s="82" t="s">
        <v>680</v>
      </c>
      <c r="G119" s="83" t="s">
        <v>42</v>
      </c>
      <c r="H119" s="83" t="s">
        <v>42</v>
      </c>
      <c r="I119" s="83">
        <v>12</v>
      </c>
      <c r="J119" s="84" t="s">
        <v>350</v>
      </c>
      <c r="K119" s="87">
        <v>30000000</v>
      </c>
      <c r="L119" s="86">
        <v>0.19</v>
      </c>
      <c r="M119" s="87">
        <f t="shared" ref="M119:M139" si="11">K119*L119</f>
        <v>5700000</v>
      </c>
      <c r="N119" s="87">
        <f t="shared" ref="N119:N141" si="12">K119+M119</f>
        <v>35700000</v>
      </c>
      <c r="O119" s="82" t="s">
        <v>343</v>
      </c>
      <c r="P119" s="82" t="s">
        <v>344</v>
      </c>
      <c r="Q119" s="87">
        <v>35700000</v>
      </c>
      <c r="R119" s="87"/>
      <c r="S119" s="87"/>
      <c r="T119" s="87"/>
      <c r="U119" s="82" t="s">
        <v>681</v>
      </c>
      <c r="V119" s="82" t="s">
        <v>682</v>
      </c>
      <c r="W119" s="96">
        <f t="shared" ref="W119:W130" si="13">+K119</f>
        <v>30000000</v>
      </c>
      <c r="X119" s="91" t="s">
        <v>683</v>
      </c>
      <c r="Y119" s="91" t="s">
        <v>683</v>
      </c>
      <c r="Z119" s="91" t="s">
        <v>684</v>
      </c>
    </row>
    <row r="120" spans="1:26" ht="43" customHeight="1" x14ac:dyDescent="0.35">
      <c r="A120" s="81" t="s">
        <v>337</v>
      </c>
      <c r="B120" s="82" t="s">
        <v>679</v>
      </c>
      <c r="C120" s="82" t="s">
        <v>160</v>
      </c>
      <c r="D120" s="83">
        <v>80101510</v>
      </c>
      <c r="E120" s="82" t="s">
        <v>420</v>
      </c>
      <c r="F120" s="82" t="s">
        <v>685</v>
      </c>
      <c r="G120" s="83" t="s">
        <v>42</v>
      </c>
      <c r="H120" s="83" t="s">
        <v>42</v>
      </c>
      <c r="I120" s="83">
        <v>12</v>
      </c>
      <c r="J120" s="84" t="s">
        <v>350</v>
      </c>
      <c r="K120" s="87">
        <v>50000000</v>
      </c>
      <c r="L120" s="86">
        <v>0.19</v>
      </c>
      <c r="M120" s="87">
        <f t="shared" si="11"/>
        <v>9500000</v>
      </c>
      <c r="N120" s="87">
        <f t="shared" si="12"/>
        <v>59500000</v>
      </c>
      <c r="O120" s="82" t="s">
        <v>343</v>
      </c>
      <c r="P120" s="82" t="s">
        <v>344</v>
      </c>
      <c r="Q120" s="87">
        <v>59500000</v>
      </c>
      <c r="R120" s="87"/>
      <c r="S120" s="87"/>
      <c r="T120" s="87"/>
      <c r="U120" s="82" t="s">
        <v>681</v>
      </c>
      <c r="V120" s="82" t="s">
        <v>686</v>
      </c>
      <c r="W120" s="96">
        <f t="shared" si="13"/>
        <v>50000000</v>
      </c>
      <c r="X120" s="91" t="s">
        <v>683</v>
      </c>
      <c r="Y120" s="91" t="s">
        <v>683</v>
      </c>
      <c r="Z120" s="91" t="s">
        <v>684</v>
      </c>
    </row>
    <row r="121" spans="1:26" ht="43" customHeight="1" x14ac:dyDescent="0.35">
      <c r="A121" s="81" t="s">
        <v>337</v>
      </c>
      <c r="B121" s="82" t="s">
        <v>679</v>
      </c>
      <c r="C121" s="82" t="s">
        <v>160</v>
      </c>
      <c r="D121" s="83">
        <v>80101510</v>
      </c>
      <c r="E121" s="82" t="s">
        <v>420</v>
      </c>
      <c r="F121" s="82" t="s">
        <v>687</v>
      </c>
      <c r="G121" s="83" t="s">
        <v>42</v>
      </c>
      <c r="H121" s="83" t="s">
        <v>42</v>
      </c>
      <c r="I121" s="83">
        <v>12</v>
      </c>
      <c r="J121" s="84" t="s">
        <v>350</v>
      </c>
      <c r="K121" s="87">
        <v>30000000</v>
      </c>
      <c r="L121" s="86">
        <v>0.19</v>
      </c>
      <c r="M121" s="87">
        <f t="shared" si="11"/>
        <v>5700000</v>
      </c>
      <c r="N121" s="87">
        <f t="shared" si="12"/>
        <v>35700000</v>
      </c>
      <c r="O121" s="82" t="s">
        <v>343</v>
      </c>
      <c r="P121" s="82" t="s">
        <v>344</v>
      </c>
      <c r="Q121" s="87">
        <v>35700000</v>
      </c>
      <c r="R121" s="87"/>
      <c r="S121" s="87"/>
      <c r="T121" s="87"/>
      <c r="U121" s="82" t="s">
        <v>681</v>
      </c>
      <c r="V121" s="82" t="s">
        <v>688</v>
      </c>
      <c r="W121" s="96">
        <f t="shared" si="13"/>
        <v>30000000</v>
      </c>
      <c r="X121" s="91" t="s">
        <v>683</v>
      </c>
      <c r="Y121" s="91" t="s">
        <v>683</v>
      </c>
      <c r="Z121" s="91" t="s">
        <v>684</v>
      </c>
    </row>
    <row r="122" spans="1:26" ht="43" customHeight="1" x14ac:dyDescent="0.35">
      <c r="A122" s="81" t="s">
        <v>337</v>
      </c>
      <c r="B122" s="82" t="s">
        <v>679</v>
      </c>
      <c r="C122" s="82" t="s">
        <v>160</v>
      </c>
      <c r="D122" s="83">
        <v>80101510</v>
      </c>
      <c r="E122" s="82" t="s">
        <v>420</v>
      </c>
      <c r="F122" s="82" t="s">
        <v>689</v>
      </c>
      <c r="G122" s="83" t="s">
        <v>45</v>
      </c>
      <c r="H122" s="83" t="s">
        <v>45</v>
      </c>
      <c r="I122" s="83">
        <v>8</v>
      </c>
      <c r="J122" s="84" t="s">
        <v>350</v>
      </c>
      <c r="K122" s="87">
        <v>50000000</v>
      </c>
      <c r="L122" s="86">
        <v>0.19</v>
      </c>
      <c r="M122" s="87">
        <f t="shared" si="11"/>
        <v>9500000</v>
      </c>
      <c r="N122" s="87">
        <f t="shared" si="12"/>
        <v>59500000</v>
      </c>
      <c r="O122" s="82" t="s">
        <v>343</v>
      </c>
      <c r="P122" s="82" t="s">
        <v>344</v>
      </c>
      <c r="Q122" s="87">
        <v>59500000</v>
      </c>
      <c r="R122" s="87"/>
      <c r="S122" s="87"/>
      <c r="T122" s="87"/>
      <c r="U122" s="82" t="s">
        <v>681</v>
      </c>
      <c r="V122" s="82" t="s">
        <v>690</v>
      </c>
      <c r="W122" s="96">
        <f t="shared" si="13"/>
        <v>50000000</v>
      </c>
      <c r="X122" s="91" t="s">
        <v>683</v>
      </c>
      <c r="Y122" s="91" t="s">
        <v>683</v>
      </c>
      <c r="Z122" s="91" t="s">
        <v>684</v>
      </c>
    </row>
    <row r="123" spans="1:26" ht="43" customHeight="1" x14ac:dyDescent="0.35">
      <c r="A123" s="81" t="s">
        <v>337</v>
      </c>
      <c r="B123" s="82" t="s">
        <v>679</v>
      </c>
      <c r="C123" s="82" t="s">
        <v>160</v>
      </c>
      <c r="D123" s="83">
        <v>80101510</v>
      </c>
      <c r="E123" s="82" t="s">
        <v>420</v>
      </c>
      <c r="F123" s="82" t="s">
        <v>691</v>
      </c>
      <c r="G123" s="83" t="s">
        <v>42</v>
      </c>
      <c r="H123" s="83" t="s">
        <v>42</v>
      </c>
      <c r="I123" s="83">
        <v>12</v>
      </c>
      <c r="J123" s="84" t="s">
        <v>350</v>
      </c>
      <c r="K123" s="87">
        <v>20000000</v>
      </c>
      <c r="L123" s="86">
        <v>0.19</v>
      </c>
      <c r="M123" s="87">
        <f t="shared" si="11"/>
        <v>3800000</v>
      </c>
      <c r="N123" s="87">
        <f t="shared" si="12"/>
        <v>23800000</v>
      </c>
      <c r="O123" s="82" t="s">
        <v>343</v>
      </c>
      <c r="P123" s="82" t="s">
        <v>344</v>
      </c>
      <c r="Q123" s="87">
        <v>23800000</v>
      </c>
      <c r="R123" s="87"/>
      <c r="S123" s="87"/>
      <c r="T123" s="87"/>
      <c r="U123" s="82" t="s">
        <v>681</v>
      </c>
      <c r="V123" s="82" t="s">
        <v>692</v>
      </c>
      <c r="W123" s="96">
        <f t="shared" si="13"/>
        <v>20000000</v>
      </c>
      <c r="X123" s="91" t="s">
        <v>683</v>
      </c>
      <c r="Y123" s="91" t="s">
        <v>683</v>
      </c>
      <c r="Z123" s="91" t="s">
        <v>684</v>
      </c>
    </row>
    <row r="124" spans="1:26" ht="43" customHeight="1" x14ac:dyDescent="0.35">
      <c r="A124" s="81" t="s">
        <v>337</v>
      </c>
      <c r="B124" s="82" t="s">
        <v>679</v>
      </c>
      <c r="C124" s="82" t="s">
        <v>160</v>
      </c>
      <c r="D124" s="83">
        <v>80101510</v>
      </c>
      <c r="E124" s="82" t="s">
        <v>420</v>
      </c>
      <c r="F124" s="82" t="s">
        <v>693</v>
      </c>
      <c r="G124" s="83" t="s">
        <v>42</v>
      </c>
      <c r="H124" s="83" t="s">
        <v>42</v>
      </c>
      <c r="I124" s="83">
        <v>12</v>
      </c>
      <c r="J124" s="84" t="s">
        <v>350</v>
      </c>
      <c r="K124" s="87">
        <v>195000000</v>
      </c>
      <c r="L124" s="86">
        <v>0.19</v>
      </c>
      <c r="M124" s="87">
        <f t="shared" si="11"/>
        <v>37050000</v>
      </c>
      <c r="N124" s="87">
        <f t="shared" si="12"/>
        <v>232050000</v>
      </c>
      <c r="O124" s="82" t="s">
        <v>343</v>
      </c>
      <c r="P124" s="82" t="s">
        <v>344</v>
      </c>
      <c r="Q124" s="87">
        <v>232050000</v>
      </c>
      <c r="R124" s="87"/>
      <c r="S124" s="87"/>
      <c r="T124" s="87"/>
      <c r="U124" s="82" t="s">
        <v>681</v>
      </c>
      <c r="V124" s="82" t="s">
        <v>694</v>
      </c>
      <c r="W124" s="96">
        <f t="shared" si="13"/>
        <v>195000000</v>
      </c>
      <c r="X124" s="91" t="s">
        <v>683</v>
      </c>
      <c r="Y124" s="91" t="s">
        <v>683</v>
      </c>
      <c r="Z124" s="91" t="s">
        <v>684</v>
      </c>
    </row>
    <row r="125" spans="1:26" ht="43" customHeight="1" x14ac:dyDescent="0.35">
      <c r="A125" s="81" t="s">
        <v>337</v>
      </c>
      <c r="B125" s="82" t="s">
        <v>679</v>
      </c>
      <c r="C125" s="82" t="s">
        <v>160</v>
      </c>
      <c r="D125" s="83">
        <v>80101510</v>
      </c>
      <c r="E125" s="82" t="s">
        <v>420</v>
      </c>
      <c r="F125" s="82" t="s">
        <v>693</v>
      </c>
      <c r="G125" s="83" t="s">
        <v>42</v>
      </c>
      <c r="H125" s="83" t="s">
        <v>42</v>
      </c>
      <c r="I125" s="83">
        <v>12</v>
      </c>
      <c r="J125" s="84" t="s">
        <v>350</v>
      </c>
      <c r="K125" s="87">
        <v>220000000</v>
      </c>
      <c r="L125" s="86">
        <v>0.19</v>
      </c>
      <c r="M125" s="87">
        <f t="shared" si="11"/>
        <v>41800000</v>
      </c>
      <c r="N125" s="87">
        <f t="shared" si="12"/>
        <v>261800000</v>
      </c>
      <c r="O125" s="82" t="s">
        <v>343</v>
      </c>
      <c r="P125" s="82" t="s">
        <v>344</v>
      </c>
      <c r="Q125" s="87">
        <v>261800000</v>
      </c>
      <c r="R125" s="87"/>
      <c r="S125" s="87"/>
      <c r="T125" s="87"/>
      <c r="U125" s="82" t="s">
        <v>681</v>
      </c>
      <c r="V125" s="82" t="s">
        <v>695</v>
      </c>
      <c r="W125" s="96">
        <f t="shared" si="13"/>
        <v>220000000</v>
      </c>
      <c r="X125" s="91" t="s">
        <v>683</v>
      </c>
      <c r="Y125" s="91" t="s">
        <v>683</v>
      </c>
      <c r="Z125" s="91" t="s">
        <v>684</v>
      </c>
    </row>
    <row r="126" spans="1:26" ht="43" customHeight="1" x14ac:dyDescent="0.35">
      <c r="A126" s="81" t="s">
        <v>337</v>
      </c>
      <c r="B126" s="82" t="s">
        <v>679</v>
      </c>
      <c r="C126" s="82" t="s">
        <v>160</v>
      </c>
      <c r="D126" s="83">
        <v>80101510</v>
      </c>
      <c r="E126" s="82" t="s">
        <v>420</v>
      </c>
      <c r="F126" s="82" t="s">
        <v>693</v>
      </c>
      <c r="G126" s="83" t="s">
        <v>42</v>
      </c>
      <c r="H126" s="83" t="s">
        <v>42</v>
      </c>
      <c r="I126" s="83">
        <v>12</v>
      </c>
      <c r="J126" s="84" t="s">
        <v>350</v>
      </c>
      <c r="K126" s="87">
        <v>264000000</v>
      </c>
      <c r="L126" s="86">
        <v>0.19</v>
      </c>
      <c r="M126" s="87">
        <f t="shared" si="11"/>
        <v>50160000</v>
      </c>
      <c r="N126" s="87">
        <f t="shared" si="12"/>
        <v>314160000</v>
      </c>
      <c r="O126" s="82" t="s">
        <v>343</v>
      </c>
      <c r="P126" s="82" t="s">
        <v>344</v>
      </c>
      <c r="Q126" s="87">
        <v>314160000</v>
      </c>
      <c r="R126" s="87"/>
      <c r="S126" s="87"/>
      <c r="T126" s="87"/>
      <c r="U126" s="82" t="s">
        <v>681</v>
      </c>
      <c r="V126" s="82" t="s">
        <v>696</v>
      </c>
      <c r="W126" s="96">
        <f t="shared" si="13"/>
        <v>264000000</v>
      </c>
      <c r="X126" s="91" t="s">
        <v>683</v>
      </c>
      <c r="Y126" s="91" t="s">
        <v>683</v>
      </c>
      <c r="Z126" s="91" t="s">
        <v>684</v>
      </c>
    </row>
    <row r="127" spans="1:26" ht="43" customHeight="1" x14ac:dyDescent="0.35">
      <c r="A127" s="81" t="s">
        <v>337</v>
      </c>
      <c r="B127" s="82" t="s">
        <v>679</v>
      </c>
      <c r="C127" s="82" t="s">
        <v>160</v>
      </c>
      <c r="D127" s="83">
        <v>80101510</v>
      </c>
      <c r="E127" s="82" t="s">
        <v>420</v>
      </c>
      <c r="F127" s="82" t="s">
        <v>693</v>
      </c>
      <c r="G127" s="83" t="s">
        <v>42</v>
      </c>
      <c r="H127" s="83" t="s">
        <v>42</v>
      </c>
      <c r="I127" s="83">
        <v>12</v>
      </c>
      <c r="J127" s="84" t="s">
        <v>350</v>
      </c>
      <c r="K127" s="87">
        <v>340000000</v>
      </c>
      <c r="L127" s="86">
        <v>0.19</v>
      </c>
      <c r="M127" s="87">
        <f t="shared" si="11"/>
        <v>64600000</v>
      </c>
      <c r="N127" s="87">
        <f t="shared" si="12"/>
        <v>404600000</v>
      </c>
      <c r="O127" s="82" t="s">
        <v>343</v>
      </c>
      <c r="P127" s="82" t="s">
        <v>344</v>
      </c>
      <c r="Q127" s="87">
        <v>404600000</v>
      </c>
      <c r="R127" s="87"/>
      <c r="S127" s="87"/>
      <c r="T127" s="87"/>
      <c r="U127" s="82" t="s">
        <v>681</v>
      </c>
      <c r="V127" s="82" t="s">
        <v>697</v>
      </c>
      <c r="W127" s="96">
        <f t="shared" si="13"/>
        <v>340000000</v>
      </c>
      <c r="X127" s="91" t="s">
        <v>683</v>
      </c>
      <c r="Y127" s="91" t="s">
        <v>683</v>
      </c>
      <c r="Z127" s="91" t="s">
        <v>684</v>
      </c>
    </row>
    <row r="128" spans="1:26" ht="43" customHeight="1" x14ac:dyDescent="0.35">
      <c r="A128" s="81" t="s">
        <v>337</v>
      </c>
      <c r="B128" s="82" t="s">
        <v>679</v>
      </c>
      <c r="C128" s="82" t="s">
        <v>160</v>
      </c>
      <c r="D128" s="83">
        <v>80101510</v>
      </c>
      <c r="E128" s="82" t="s">
        <v>420</v>
      </c>
      <c r="F128" s="82" t="s">
        <v>693</v>
      </c>
      <c r="G128" s="83" t="s">
        <v>42</v>
      </c>
      <c r="H128" s="83" t="s">
        <v>42</v>
      </c>
      <c r="I128" s="83">
        <v>12</v>
      </c>
      <c r="J128" s="84" t="s">
        <v>350</v>
      </c>
      <c r="K128" s="87">
        <v>226000000</v>
      </c>
      <c r="L128" s="86">
        <v>0.19</v>
      </c>
      <c r="M128" s="87">
        <f t="shared" si="11"/>
        <v>42940000</v>
      </c>
      <c r="N128" s="87">
        <f t="shared" si="12"/>
        <v>268940000</v>
      </c>
      <c r="O128" s="82" t="s">
        <v>343</v>
      </c>
      <c r="P128" s="82" t="s">
        <v>344</v>
      </c>
      <c r="Q128" s="87">
        <v>268940000</v>
      </c>
      <c r="R128" s="87"/>
      <c r="S128" s="87"/>
      <c r="T128" s="87"/>
      <c r="U128" s="82" t="s">
        <v>681</v>
      </c>
      <c r="V128" s="82" t="s">
        <v>698</v>
      </c>
      <c r="W128" s="96">
        <f t="shared" si="13"/>
        <v>226000000</v>
      </c>
      <c r="X128" s="91" t="s">
        <v>683</v>
      </c>
      <c r="Y128" s="91" t="s">
        <v>683</v>
      </c>
      <c r="Z128" s="91" t="s">
        <v>684</v>
      </c>
    </row>
    <row r="129" spans="1:26" ht="43" customHeight="1" x14ac:dyDescent="0.35">
      <c r="A129" s="81" t="s">
        <v>337</v>
      </c>
      <c r="B129" s="82" t="s">
        <v>679</v>
      </c>
      <c r="C129" s="82" t="s">
        <v>173</v>
      </c>
      <c r="D129" s="131">
        <v>78141602</v>
      </c>
      <c r="E129" s="82" t="s">
        <v>699</v>
      </c>
      <c r="F129" s="82" t="s">
        <v>700</v>
      </c>
      <c r="G129" s="83" t="s">
        <v>42</v>
      </c>
      <c r="H129" s="83" t="s">
        <v>42</v>
      </c>
      <c r="I129" s="83">
        <v>12</v>
      </c>
      <c r="J129" s="84" t="s">
        <v>350</v>
      </c>
      <c r="K129" s="87">
        <v>30000000</v>
      </c>
      <c r="L129" s="86">
        <v>0.19</v>
      </c>
      <c r="M129" s="87">
        <f t="shared" si="11"/>
        <v>5700000</v>
      </c>
      <c r="N129" s="87">
        <f t="shared" si="12"/>
        <v>35700000</v>
      </c>
      <c r="O129" s="82" t="s">
        <v>343</v>
      </c>
      <c r="P129" s="82" t="s">
        <v>344</v>
      </c>
      <c r="Q129" s="87">
        <v>35700000</v>
      </c>
      <c r="R129" s="87"/>
      <c r="S129" s="87"/>
      <c r="T129" s="87"/>
      <c r="U129" s="82" t="s">
        <v>701</v>
      </c>
      <c r="V129" s="82" t="s">
        <v>702</v>
      </c>
      <c r="W129" s="96">
        <f t="shared" si="13"/>
        <v>30000000</v>
      </c>
      <c r="X129" s="26" t="s">
        <v>703</v>
      </c>
      <c r="Y129" s="26" t="s">
        <v>703</v>
      </c>
      <c r="Z129" s="26" t="s">
        <v>704</v>
      </c>
    </row>
    <row r="130" spans="1:26" ht="43" customHeight="1" x14ac:dyDescent="0.35">
      <c r="A130" s="81" t="s">
        <v>337</v>
      </c>
      <c r="B130" s="82" t="s">
        <v>679</v>
      </c>
      <c r="C130" s="82" t="s">
        <v>173</v>
      </c>
      <c r="D130" s="131">
        <v>80111610</v>
      </c>
      <c r="E130" s="107" t="s">
        <v>705</v>
      </c>
      <c r="F130" s="82" t="s">
        <v>706</v>
      </c>
      <c r="G130" s="83" t="s">
        <v>42</v>
      </c>
      <c r="H130" s="83" t="s">
        <v>42</v>
      </c>
      <c r="I130" s="83">
        <v>12</v>
      </c>
      <c r="J130" s="84" t="s">
        <v>350</v>
      </c>
      <c r="K130" s="87">
        <v>25000000</v>
      </c>
      <c r="L130" s="86">
        <v>0.19</v>
      </c>
      <c r="M130" s="87">
        <f t="shared" si="11"/>
        <v>4750000</v>
      </c>
      <c r="N130" s="87">
        <f t="shared" si="12"/>
        <v>29750000</v>
      </c>
      <c r="O130" s="82" t="s">
        <v>343</v>
      </c>
      <c r="P130" s="82" t="s">
        <v>344</v>
      </c>
      <c r="Q130" s="87">
        <v>29750000</v>
      </c>
      <c r="R130" s="87"/>
      <c r="S130" s="87"/>
      <c r="T130" s="87"/>
      <c r="U130" s="82" t="s">
        <v>701</v>
      </c>
      <c r="V130" s="82"/>
      <c r="W130" s="96">
        <f t="shared" si="13"/>
        <v>25000000</v>
      </c>
      <c r="X130" s="26" t="s">
        <v>707</v>
      </c>
      <c r="Y130" s="26" t="s">
        <v>707</v>
      </c>
      <c r="Z130" s="26" t="s">
        <v>708</v>
      </c>
    </row>
    <row r="131" spans="1:26" ht="43" customHeight="1" x14ac:dyDescent="0.35">
      <c r="A131" s="81" t="s">
        <v>337</v>
      </c>
      <c r="B131" s="82" t="s">
        <v>679</v>
      </c>
      <c r="C131" s="82" t="s">
        <v>709</v>
      </c>
      <c r="D131" s="83">
        <v>84131609</v>
      </c>
      <c r="E131" s="107" t="s">
        <v>710</v>
      </c>
      <c r="F131" s="82" t="s">
        <v>711</v>
      </c>
      <c r="G131" s="83" t="s">
        <v>42</v>
      </c>
      <c r="H131" s="83" t="s">
        <v>43</v>
      </c>
      <c r="I131" s="83">
        <v>24</v>
      </c>
      <c r="J131" s="84" t="s">
        <v>403</v>
      </c>
      <c r="K131" s="87">
        <v>20653081806</v>
      </c>
      <c r="L131" s="86">
        <v>0.19</v>
      </c>
      <c r="M131" s="87">
        <f t="shared" si="11"/>
        <v>3924085543.1399999</v>
      </c>
      <c r="N131" s="87">
        <f t="shared" si="12"/>
        <v>24577167349.139999</v>
      </c>
      <c r="O131" s="82" t="s">
        <v>358</v>
      </c>
      <c r="P131" s="82" t="s">
        <v>712</v>
      </c>
      <c r="Q131" s="96">
        <v>8590911978</v>
      </c>
      <c r="R131" s="87">
        <v>12600004234</v>
      </c>
      <c r="S131" s="87">
        <v>3386251138</v>
      </c>
      <c r="T131" s="87"/>
      <c r="U131" s="82" t="s">
        <v>713</v>
      </c>
      <c r="V131" s="82" t="s">
        <v>714</v>
      </c>
      <c r="W131" s="96">
        <f>+Q131/1.19</f>
        <v>7219253763.0252104</v>
      </c>
      <c r="X131" s="104" t="s">
        <v>707</v>
      </c>
      <c r="Y131" s="104" t="s">
        <v>707</v>
      </c>
      <c r="Z131" s="104" t="s">
        <v>715</v>
      </c>
    </row>
    <row r="132" spans="1:26" ht="43" customHeight="1" x14ac:dyDescent="0.35">
      <c r="A132" s="81" t="s">
        <v>337</v>
      </c>
      <c r="B132" s="82" t="s">
        <v>679</v>
      </c>
      <c r="C132" s="82" t="s">
        <v>716</v>
      </c>
      <c r="D132" s="83" t="s">
        <v>499</v>
      </c>
      <c r="E132" s="82" t="s">
        <v>500</v>
      </c>
      <c r="F132" s="82" t="s">
        <v>717</v>
      </c>
      <c r="G132" s="83" t="s">
        <v>48</v>
      </c>
      <c r="H132" s="83" t="s">
        <v>48</v>
      </c>
      <c r="I132" s="83">
        <v>12</v>
      </c>
      <c r="J132" s="84" t="s">
        <v>350</v>
      </c>
      <c r="K132" s="87">
        <v>131935730.295</v>
      </c>
      <c r="L132" s="86">
        <v>0.19</v>
      </c>
      <c r="M132" s="87">
        <f t="shared" si="11"/>
        <v>25067788.756050002</v>
      </c>
      <c r="N132" s="87">
        <f t="shared" si="12"/>
        <v>157003519.05105001</v>
      </c>
      <c r="O132" s="82" t="s">
        <v>358</v>
      </c>
      <c r="P132" s="82" t="s">
        <v>570</v>
      </c>
      <c r="Q132" s="96">
        <v>157003519.05105001</v>
      </c>
      <c r="R132" s="87"/>
      <c r="S132" s="87"/>
      <c r="T132" s="87"/>
      <c r="U132" s="82" t="s">
        <v>718</v>
      </c>
      <c r="V132" s="82"/>
      <c r="W132" s="96">
        <f>+Q132/1.19</f>
        <v>131935730.29500002</v>
      </c>
      <c r="X132" s="26" t="s">
        <v>364</v>
      </c>
      <c r="Y132" s="26" t="s">
        <v>365</v>
      </c>
      <c r="Z132" s="26" t="s">
        <v>369</v>
      </c>
    </row>
    <row r="133" spans="1:26" ht="43" customHeight="1" x14ac:dyDescent="0.35">
      <c r="A133" s="81" t="s">
        <v>337</v>
      </c>
      <c r="B133" s="82" t="s">
        <v>679</v>
      </c>
      <c r="C133" s="82" t="s">
        <v>716</v>
      </c>
      <c r="D133" s="83" t="s">
        <v>499</v>
      </c>
      <c r="E133" s="82" t="s">
        <v>500</v>
      </c>
      <c r="F133" s="82" t="s">
        <v>379</v>
      </c>
      <c r="G133" s="83" t="s">
        <v>48</v>
      </c>
      <c r="H133" s="83" t="s">
        <v>48</v>
      </c>
      <c r="I133" s="83">
        <v>12</v>
      </c>
      <c r="J133" s="84" t="s">
        <v>350</v>
      </c>
      <c r="K133" s="87">
        <v>600000000</v>
      </c>
      <c r="L133" s="86">
        <v>0</v>
      </c>
      <c r="M133" s="87">
        <f t="shared" si="11"/>
        <v>0</v>
      </c>
      <c r="N133" s="87">
        <f t="shared" si="12"/>
        <v>600000000</v>
      </c>
      <c r="O133" s="82" t="s">
        <v>358</v>
      </c>
      <c r="P133" s="82" t="s">
        <v>359</v>
      </c>
      <c r="Q133" s="96">
        <v>600000000</v>
      </c>
      <c r="R133" s="87"/>
      <c r="S133" s="87"/>
      <c r="T133" s="87"/>
      <c r="U133" s="82" t="s">
        <v>719</v>
      </c>
      <c r="V133" s="82"/>
      <c r="W133" s="96">
        <f>+Q133/1.19</f>
        <v>504201680.67226893</v>
      </c>
      <c r="X133" s="104" t="s">
        <v>566</v>
      </c>
      <c r="Y133" s="104" t="s">
        <v>379</v>
      </c>
      <c r="Z133" s="104" t="s">
        <v>720</v>
      </c>
    </row>
    <row r="134" spans="1:26" ht="43" customHeight="1" x14ac:dyDescent="0.35">
      <c r="A134" s="81" t="s">
        <v>337</v>
      </c>
      <c r="B134" s="82" t="s">
        <v>679</v>
      </c>
      <c r="C134" s="82" t="s">
        <v>716</v>
      </c>
      <c r="D134" s="83" t="s">
        <v>721</v>
      </c>
      <c r="E134" s="82" t="s">
        <v>722</v>
      </c>
      <c r="F134" s="82" t="s">
        <v>723</v>
      </c>
      <c r="G134" s="83" t="s">
        <v>44</v>
      </c>
      <c r="H134" s="83" t="s">
        <v>44</v>
      </c>
      <c r="I134" s="83">
        <v>12</v>
      </c>
      <c r="J134" s="84" t="s">
        <v>350</v>
      </c>
      <c r="K134" s="87">
        <v>349900000</v>
      </c>
      <c r="L134" s="86">
        <v>0</v>
      </c>
      <c r="M134" s="87">
        <f t="shared" si="11"/>
        <v>0</v>
      </c>
      <c r="N134" s="87">
        <f t="shared" si="12"/>
        <v>349900000</v>
      </c>
      <c r="O134" s="82" t="s">
        <v>343</v>
      </c>
      <c r="P134" s="82" t="s">
        <v>344</v>
      </c>
      <c r="Q134" s="96">
        <v>349900000</v>
      </c>
      <c r="R134" s="87"/>
      <c r="S134" s="87"/>
      <c r="T134" s="87"/>
      <c r="U134" s="82" t="s">
        <v>724</v>
      </c>
      <c r="V134" s="82"/>
      <c r="W134" s="96">
        <f>+Q134</f>
        <v>349900000</v>
      </c>
      <c r="X134" s="104" t="s">
        <v>347</v>
      </c>
      <c r="Y134" s="104" t="s">
        <v>347</v>
      </c>
      <c r="Z134" s="104" t="s">
        <v>725</v>
      </c>
    </row>
    <row r="135" spans="1:26" ht="43" customHeight="1" x14ac:dyDescent="0.35">
      <c r="A135" s="81" t="s">
        <v>337</v>
      </c>
      <c r="B135" s="82" t="s">
        <v>679</v>
      </c>
      <c r="C135" s="82" t="s">
        <v>716</v>
      </c>
      <c r="D135" s="83" t="s">
        <v>726</v>
      </c>
      <c r="E135" s="82" t="s">
        <v>727</v>
      </c>
      <c r="F135" s="82" t="s">
        <v>728</v>
      </c>
      <c r="G135" s="83" t="s">
        <v>47</v>
      </c>
      <c r="H135" s="83" t="s">
        <v>47</v>
      </c>
      <c r="I135" s="83">
        <v>6</v>
      </c>
      <c r="J135" s="84" t="s">
        <v>350</v>
      </c>
      <c r="K135" s="87">
        <v>30164953</v>
      </c>
      <c r="L135" s="86">
        <v>0.19</v>
      </c>
      <c r="M135" s="87">
        <f t="shared" si="11"/>
        <v>5731341.0700000003</v>
      </c>
      <c r="N135" s="87">
        <f t="shared" si="12"/>
        <v>35896294.07</v>
      </c>
      <c r="O135" s="82" t="s">
        <v>358</v>
      </c>
      <c r="P135" s="82" t="s">
        <v>359</v>
      </c>
      <c r="Q135" s="96">
        <v>35896294</v>
      </c>
      <c r="R135" s="87"/>
      <c r="S135" s="87"/>
      <c r="T135" s="87"/>
      <c r="U135" s="108" t="s">
        <v>724</v>
      </c>
      <c r="V135" s="82"/>
      <c r="W135" s="96">
        <f t="shared" ref="W135:W140" si="14">+Q135/1.19</f>
        <v>30164952.94117647</v>
      </c>
      <c r="X135" s="104" t="s">
        <v>347</v>
      </c>
      <c r="Y135" s="104" t="s">
        <v>347</v>
      </c>
      <c r="Z135" s="104" t="s">
        <v>729</v>
      </c>
    </row>
    <row r="136" spans="1:26" ht="43" customHeight="1" x14ac:dyDescent="0.35">
      <c r="A136" s="81" t="s">
        <v>337</v>
      </c>
      <c r="B136" s="82" t="s">
        <v>679</v>
      </c>
      <c r="C136" s="82" t="s">
        <v>716</v>
      </c>
      <c r="D136" s="83" t="s">
        <v>499</v>
      </c>
      <c r="E136" s="82" t="s">
        <v>500</v>
      </c>
      <c r="F136" s="82" t="s">
        <v>379</v>
      </c>
      <c r="G136" s="83" t="s">
        <v>44</v>
      </c>
      <c r="H136" s="83" t="s">
        <v>44</v>
      </c>
      <c r="I136" s="83">
        <v>12</v>
      </c>
      <c r="J136" s="84" t="s">
        <v>350</v>
      </c>
      <c r="K136" s="87">
        <v>48502698</v>
      </c>
      <c r="L136" s="86">
        <v>0</v>
      </c>
      <c r="M136" s="87">
        <f t="shared" si="11"/>
        <v>0</v>
      </c>
      <c r="N136" s="87">
        <f t="shared" si="12"/>
        <v>48502698</v>
      </c>
      <c r="O136" s="82" t="s">
        <v>358</v>
      </c>
      <c r="P136" s="82" t="s">
        <v>359</v>
      </c>
      <c r="Q136" s="96">
        <v>48502698</v>
      </c>
      <c r="R136" s="87"/>
      <c r="S136" s="87"/>
      <c r="T136" s="87"/>
      <c r="U136" s="108" t="s">
        <v>724</v>
      </c>
      <c r="V136" s="82"/>
      <c r="W136" s="96">
        <f t="shared" si="14"/>
        <v>40758569.74789916</v>
      </c>
      <c r="X136" s="104" t="s">
        <v>364</v>
      </c>
      <c r="Y136" s="104" t="s">
        <v>365</v>
      </c>
      <c r="Z136" s="104" t="s">
        <v>730</v>
      </c>
    </row>
    <row r="137" spans="1:26" ht="43" customHeight="1" x14ac:dyDescent="0.35">
      <c r="A137" s="81" t="s">
        <v>337</v>
      </c>
      <c r="B137" s="82" t="s">
        <v>679</v>
      </c>
      <c r="C137" s="82" t="s">
        <v>167</v>
      </c>
      <c r="D137" s="83">
        <v>84131609</v>
      </c>
      <c r="E137" s="82" t="s">
        <v>710</v>
      </c>
      <c r="F137" s="82" t="s">
        <v>731</v>
      </c>
      <c r="G137" s="83" t="s">
        <v>42</v>
      </c>
      <c r="H137" s="83" t="s">
        <v>43</v>
      </c>
      <c r="I137" s="83">
        <v>24</v>
      </c>
      <c r="J137" s="84" t="s">
        <v>403</v>
      </c>
      <c r="K137" s="87">
        <v>8882500</v>
      </c>
      <c r="L137" s="86">
        <v>0.19</v>
      </c>
      <c r="M137" s="87">
        <f t="shared" si="11"/>
        <v>1687675</v>
      </c>
      <c r="N137" s="87">
        <f t="shared" si="12"/>
        <v>10570175</v>
      </c>
      <c r="O137" s="82" t="s">
        <v>358</v>
      </c>
      <c r="P137" s="82" t="s">
        <v>712</v>
      </c>
      <c r="Q137" s="96">
        <v>3927000</v>
      </c>
      <c r="R137" s="87">
        <v>5236000</v>
      </c>
      <c r="S137" s="87">
        <v>1407175</v>
      </c>
      <c r="T137" s="87"/>
      <c r="U137" s="82" t="s">
        <v>732</v>
      </c>
      <c r="V137" s="82" t="s">
        <v>733</v>
      </c>
      <c r="W137" s="96">
        <f t="shared" si="14"/>
        <v>3300000</v>
      </c>
      <c r="X137" s="104" t="s">
        <v>707</v>
      </c>
      <c r="Y137" s="104" t="s">
        <v>707</v>
      </c>
      <c r="Z137" s="104" t="s">
        <v>734</v>
      </c>
    </row>
    <row r="138" spans="1:26" ht="43" customHeight="1" x14ac:dyDescent="0.35">
      <c r="A138" s="81" t="s">
        <v>337</v>
      </c>
      <c r="B138" s="82" t="s">
        <v>679</v>
      </c>
      <c r="C138" s="82" t="s">
        <v>735</v>
      </c>
      <c r="D138" s="83">
        <v>84131503</v>
      </c>
      <c r="E138" s="82" t="s">
        <v>736</v>
      </c>
      <c r="F138" s="82" t="s">
        <v>737</v>
      </c>
      <c r="G138" s="83" t="s">
        <v>52</v>
      </c>
      <c r="H138" s="83" t="s">
        <v>52</v>
      </c>
      <c r="I138" s="83">
        <v>12</v>
      </c>
      <c r="J138" s="84" t="s">
        <v>350</v>
      </c>
      <c r="K138" s="87">
        <v>53497236</v>
      </c>
      <c r="L138" s="86">
        <v>0.19</v>
      </c>
      <c r="M138" s="87">
        <f t="shared" si="11"/>
        <v>10164474.84</v>
      </c>
      <c r="N138" s="87">
        <f t="shared" si="12"/>
        <v>63661710.840000004</v>
      </c>
      <c r="O138" s="82" t="s">
        <v>358</v>
      </c>
      <c r="P138" s="82" t="s">
        <v>359</v>
      </c>
      <c r="Q138" s="96">
        <v>63661711</v>
      </c>
      <c r="R138" s="96"/>
      <c r="S138" s="96"/>
      <c r="T138" s="96"/>
      <c r="U138" s="82" t="s">
        <v>738</v>
      </c>
      <c r="V138" s="82" t="s">
        <v>739</v>
      </c>
      <c r="W138" s="96">
        <f t="shared" si="14"/>
        <v>53497236.134453781</v>
      </c>
      <c r="X138" s="104" t="s">
        <v>373</v>
      </c>
      <c r="Y138" s="104" t="s">
        <v>373</v>
      </c>
      <c r="Z138" s="104" t="s">
        <v>740</v>
      </c>
    </row>
    <row r="139" spans="1:26" ht="43" customHeight="1" x14ac:dyDescent="0.35">
      <c r="A139" s="81" t="s">
        <v>337</v>
      </c>
      <c r="B139" s="82" t="s">
        <v>679</v>
      </c>
      <c r="C139" s="82" t="s">
        <v>735</v>
      </c>
      <c r="D139" s="83">
        <v>84131503</v>
      </c>
      <c r="E139" s="82" t="s">
        <v>736</v>
      </c>
      <c r="F139" s="82" t="s">
        <v>741</v>
      </c>
      <c r="G139" s="100" t="s">
        <v>53</v>
      </c>
      <c r="H139" s="83" t="s">
        <v>53</v>
      </c>
      <c r="I139" s="83">
        <v>24</v>
      </c>
      <c r="J139" s="83" t="s">
        <v>403</v>
      </c>
      <c r="K139" s="87">
        <v>41229496155</v>
      </c>
      <c r="L139" s="86">
        <v>0.19</v>
      </c>
      <c r="M139" s="87">
        <f t="shared" si="11"/>
        <v>7833604269.4499998</v>
      </c>
      <c r="N139" s="87">
        <f t="shared" si="12"/>
        <v>49063100424.449997</v>
      </c>
      <c r="O139" s="82" t="s">
        <v>358</v>
      </c>
      <c r="P139" s="82" t="s">
        <v>712</v>
      </c>
      <c r="Q139" s="96">
        <v>17149933152</v>
      </c>
      <c r="R139" s="96">
        <v>25153235289</v>
      </c>
      <c r="S139" s="96">
        <v>6759931983</v>
      </c>
      <c r="T139" s="96">
        <v>0</v>
      </c>
      <c r="U139" s="82" t="s">
        <v>738</v>
      </c>
      <c r="V139" s="82" t="s">
        <v>742</v>
      </c>
      <c r="W139" s="96">
        <f t="shared" si="14"/>
        <v>14411708531.092438</v>
      </c>
      <c r="X139" s="104" t="s">
        <v>707</v>
      </c>
      <c r="Y139" s="104" t="s">
        <v>707</v>
      </c>
      <c r="Z139" s="104" t="s">
        <v>743</v>
      </c>
    </row>
    <row r="140" spans="1:26" ht="43" customHeight="1" x14ac:dyDescent="0.35">
      <c r="A140" s="81" t="s">
        <v>337</v>
      </c>
      <c r="B140" s="82" t="s">
        <v>679</v>
      </c>
      <c r="C140" s="82" t="s">
        <v>167</v>
      </c>
      <c r="D140" s="83">
        <v>80101500</v>
      </c>
      <c r="E140" s="82" t="s">
        <v>340</v>
      </c>
      <c r="F140" s="82" t="s">
        <v>744</v>
      </c>
      <c r="G140" s="83" t="s">
        <v>43</v>
      </c>
      <c r="H140" s="83" t="s">
        <v>43</v>
      </c>
      <c r="I140" s="83">
        <v>12</v>
      </c>
      <c r="J140" s="84" t="s">
        <v>350</v>
      </c>
      <c r="K140" s="87">
        <v>2500000</v>
      </c>
      <c r="L140" s="86">
        <v>0</v>
      </c>
      <c r="M140" s="87">
        <v>0</v>
      </c>
      <c r="N140" s="87">
        <f t="shared" si="12"/>
        <v>2500000</v>
      </c>
      <c r="O140" s="82" t="s">
        <v>343</v>
      </c>
      <c r="P140" s="82" t="s">
        <v>344</v>
      </c>
      <c r="Q140" s="96">
        <v>2500000</v>
      </c>
      <c r="R140" s="87"/>
      <c r="S140" s="87"/>
      <c r="T140" s="87"/>
      <c r="U140" s="82" t="s">
        <v>745</v>
      </c>
      <c r="V140" s="82"/>
      <c r="W140" s="96">
        <f t="shared" si="14"/>
        <v>2100840.3361344538</v>
      </c>
      <c r="X140" s="104" t="s">
        <v>373</v>
      </c>
      <c r="Y140" s="104" t="s">
        <v>373</v>
      </c>
      <c r="Z140" s="104" t="s">
        <v>746</v>
      </c>
    </row>
    <row r="141" spans="1:26" ht="43" customHeight="1" x14ac:dyDescent="0.35">
      <c r="A141" s="81" t="s">
        <v>337</v>
      </c>
      <c r="B141" s="82" t="s">
        <v>679</v>
      </c>
      <c r="C141" s="82" t="s">
        <v>747</v>
      </c>
      <c r="D141" s="83" t="s">
        <v>748</v>
      </c>
      <c r="E141" s="82" t="s">
        <v>749</v>
      </c>
      <c r="F141" s="82" t="s">
        <v>750</v>
      </c>
      <c r="G141" s="83" t="s">
        <v>51</v>
      </c>
      <c r="H141" s="83" t="s">
        <v>52</v>
      </c>
      <c r="I141" s="83">
        <v>12</v>
      </c>
      <c r="J141" s="84" t="s">
        <v>350</v>
      </c>
      <c r="K141" s="87">
        <v>74000000</v>
      </c>
      <c r="L141" s="86">
        <v>0.19</v>
      </c>
      <c r="M141" s="87">
        <f>K141*L141</f>
        <v>14060000</v>
      </c>
      <c r="N141" s="87">
        <f t="shared" si="12"/>
        <v>88060000</v>
      </c>
      <c r="O141" s="82" t="s">
        <v>343</v>
      </c>
      <c r="P141" s="82" t="s">
        <v>344</v>
      </c>
      <c r="Q141" s="96">
        <v>88060000</v>
      </c>
      <c r="R141" s="87"/>
      <c r="S141" s="87"/>
      <c r="T141" s="87"/>
      <c r="U141" s="82" t="s">
        <v>751</v>
      </c>
      <c r="V141" s="82"/>
      <c r="W141" s="96">
        <f>+K141</f>
        <v>74000000</v>
      </c>
      <c r="X141" s="26" t="s">
        <v>566</v>
      </c>
      <c r="Y141" s="26" t="s">
        <v>379</v>
      </c>
      <c r="Z141" s="26" t="s">
        <v>752</v>
      </c>
    </row>
    <row r="142" spans="1:26" ht="43" customHeight="1" x14ac:dyDescent="0.35">
      <c r="A142" s="81" t="s">
        <v>337</v>
      </c>
      <c r="B142" s="82" t="s">
        <v>753</v>
      </c>
      <c r="C142" s="82" t="s">
        <v>754</v>
      </c>
      <c r="D142" s="83">
        <v>80101706</v>
      </c>
      <c r="E142" s="82" t="s">
        <v>755</v>
      </c>
      <c r="F142" s="82" t="s">
        <v>756</v>
      </c>
      <c r="G142" s="100" t="s">
        <v>53</v>
      </c>
      <c r="H142" s="83" t="s">
        <v>53</v>
      </c>
      <c r="I142" s="83">
        <v>12</v>
      </c>
      <c r="J142" s="84" t="s">
        <v>350</v>
      </c>
      <c r="K142" s="87">
        <v>67360800</v>
      </c>
      <c r="L142" s="86">
        <v>0</v>
      </c>
      <c r="M142" s="87">
        <f>+K142*L142</f>
        <v>0</v>
      </c>
      <c r="N142" s="87">
        <f t="shared" ref="N142:N149" si="15">+K142+M142</f>
        <v>67360800</v>
      </c>
      <c r="O142" s="82" t="s">
        <v>343</v>
      </c>
      <c r="P142" s="82" t="s">
        <v>344</v>
      </c>
      <c r="Q142" s="87">
        <v>0</v>
      </c>
      <c r="R142" s="87">
        <v>67360800</v>
      </c>
      <c r="S142" s="87"/>
      <c r="T142" s="87"/>
      <c r="U142" s="82" t="s">
        <v>757</v>
      </c>
      <c r="V142" s="91" t="s">
        <v>758</v>
      </c>
      <c r="W142" s="96">
        <f t="shared" ref="W142:W148" si="16">+Q142/1.19</f>
        <v>0</v>
      </c>
      <c r="X142" s="91" t="s">
        <v>347</v>
      </c>
      <c r="Y142" s="91" t="s">
        <v>347</v>
      </c>
      <c r="Z142" s="91" t="s">
        <v>759</v>
      </c>
    </row>
    <row r="143" spans="1:26" ht="43" customHeight="1" x14ac:dyDescent="0.35">
      <c r="A143" s="81" t="s">
        <v>337</v>
      </c>
      <c r="B143" s="82" t="s">
        <v>753</v>
      </c>
      <c r="C143" s="82" t="s">
        <v>754</v>
      </c>
      <c r="D143" s="83">
        <v>84111802</v>
      </c>
      <c r="E143" s="82" t="s">
        <v>760</v>
      </c>
      <c r="F143" s="132" t="s">
        <v>761</v>
      </c>
      <c r="G143" s="83" t="s">
        <v>42</v>
      </c>
      <c r="H143" s="83" t="s">
        <v>43</v>
      </c>
      <c r="I143" s="83">
        <v>12</v>
      </c>
      <c r="J143" s="133" t="s">
        <v>350</v>
      </c>
      <c r="K143" s="87">
        <f>+(Q143+R143)/1.19</f>
        <v>1035858101.6806723</v>
      </c>
      <c r="L143" s="86">
        <v>0.19</v>
      </c>
      <c r="M143" s="87">
        <f>+K143*L143</f>
        <v>196813039.31932774</v>
      </c>
      <c r="N143" s="87">
        <f t="shared" si="15"/>
        <v>1232671141</v>
      </c>
      <c r="O143" s="82" t="s">
        <v>358</v>
      </c>
      <c r="P143" s="82" t="s">
        <v>359</v>
      </c>
      <c r="Q143" s="87">
        <v>502576664</v>
      </c>
      <c r="R143" s="87">
        <v>730094477</v>
      </c>
      <c r="S143" s="87"/>
      <c r="T143" s="87"/>
      <c r="U143" s="134" t="s">
        <v>762</v>
      </c>
      <c r="V143" s="91" t="s">
        <v>763</v>
      </c>
      <c r="W143" s="96">
        <f t="shared" si="16"/>
        <v>422333331.09243697</v>
      </c>
      <c r="X143" s="91" t="s">
        <v>347</v>
      </c>
      <c r="Y143" s="91" t="s">
        <v>347</v>
      </c>
      <c r="Z143" s="91" t="s">
        <v>764</v>
      </c>
    </row>
    <row r="144" spans="1:26" ht="43" customHeight="1" x14ac:dyDescent="0.35">
      <c r="A144" s="81" t="s">
        <v>337</v>
      </c>
      <c r="B144" s="82" t="s">
        <v>753</v>
      </c>
      <c r="C144" s="82" t="s">
        <v>765</v>
      </c>
      <c r="D144" s="84" t="s">
        <v>766</v>
      </c>
      <c r="E144" s="99" t="s">
        <v>767</v>
      </c>
      <c r="F144" s="135" t="s">
        <v>768</v>
      </c>
      <c r="G144" s="83" t="s">
        <v>51</v>
      </c>
      <c r="H144" s="83" t="s">
        <v>52</v>
      </c>
      <c r="I144" s="84">
        <v>720</v>
      </c>
      <c r="J144" s="84" t="s">
        <v>403</v>
      </c>
      <c r="K144" s="136">
        <v>1701222440.2245069</v>
      </c>
      <c r="L144" s="137">
        <v>0.19</v>
      </c>
      <c r="M144" s="136">
        <v>18296165.866565451</v>
      </c>
      <c r="N144" s="138">
        <f t="shared" si="15"/>
        <v>1719518606.0910723</v>
      </c>
      <c r="O144" s="82" t="s">
        <v>358</v>
      </c>
      <c r="P144" s="82" t="s">
        <v>359</v>
      </c>
      <c r="Q144" s="87">
        <v>0</v>
      </c>
      <c r="R144" s="87">
        <v>805772542.68560088</v>
      </c>
      <c r="S144" s="87">
        <v>913746063.40547132</v>
      </c>
      <c r="T144" s="87">
        <v>0</v>
      </c>
      <c r="U144" s="82" t="s">
        <v>769</v>
      </c>
      <c r="V144" s="91" t="s">
        <v>770</v>
      </c>
      <c r="W144" s="96">
        <f t="shared" si="16"/>
        <v>0</v>
      </c>
      <c r="X144" s="91"/>
      <c r="Y144" s="91"/>
      <c r="Z144" s="91"/>
    </row>
    <row r="145" spans="1:26" ht="43" customHeight="1" x14ac:dyDescent="0.35">
      <c r="A145" s="81" t="s">
        <v>337</v>
      </c>
      <c r="B145" s="82" t="s">
        <v>753</v>
      </c>
      <c r="C145" s="82" t="s">
        <v>765</v>
      </c>
      <c r="D145" s="84" t="s">
        <v>766</v>
      </c>
      <c r="E145" s="99" t="s">
        <v>767</v>
      </c>
      <c r="F145" s="135" t="s">
        <v>771</v>
      </c>
      <c r="G145" s="83" t="s">
        <v>51</v>
      </c>
      <c r="H145" s="83" t="s">
        <v>52</v>
      </c>
      <c r="I145" s="84">
        <v>720</v>
      </c>
      <c r="J145" s="84" t="s">
        <v>403</v>
      </c>
      <c r="K145" s="136">
        <v>1529811356.7727265</v>
      </c>
      <c r="L145" s="137">
        <v>0.19</v>
      </c>
      <c r="M145" s="136">
        <v>16452688.17661234</v>
      </c>
      <c r="N145" s="138">
        <f t="shared" si="15"/>
        <v>1546264044.9493389</v>
      </c>
      <c r="O145" s="82" t="s">
        <v>358</v>
      </c>
      <c r="P145" s="82" t="s">
        <v>359</v>
      </c>
      <c r="Q145" s="87">
        <v>0</v>
      </c>
      <c r="R145" s="87">
        <v>724584838.30803132</v>
      </c>
      <c r="S145" s="87">
        <v>821679206.64130747</v>
      </c>
      <c r="T145" s="87">
        <v>0</v>
      </c>
      <c r="U145" s="82" t="s">
        <v>772</v>
      </c>
      <c r="V145" s="91" t="s">
        <v>770</v>
      </c>
      <c r="W145" s="96">
        <f t="shared" si="16"/>
        <v>0</v>
      </c>
      <c r="X145" s="91"/>
      <c r="Y145" s="91"/>
      <c r="Z145" s="91"/>
    </row>
    <row r="146" spans="1:26" ht="43" customHeight="1" x14ac:dyDescent="0.35">
      <c r="A146" s="81" t="s">
        <v>337</v>
      </c>
      <c r="B146" s="82" t="s">
        <v>753</v>
      </c>
      <c r="C146" s="82" t="s">
        <v>765</v>
      </c>
      <c r="D146" s="84" t="s">
        <v>766</v>
      </c>
      <c r="E146" s="99" t="s">
        <v>767</v>
      </c>
      <c r="F146" s="135" t="s">
        <v>773</v>
      </c>
      <c r="G146" s="83" t="s">
        <v>51</v>
      </c>
      <c r="H146" s="83" t="s">
        <v>52</v>
      </c>
      <c r="I146" s="84">
        <v>720</v>
      </c>
      <c r="J146" s="84" t="s">
        <v>403</v>
      </c>
      <c r="K146" s="136">
        <v>141083434.79999998</v>
      </c>
      <c r="L146" s="137">
        <v>0.19</v>
      </c>
      <c r="M146" s="136">
        <v>1517312.4119999995</v>
      </c>
      <c r="N146" s="138">
        <f t="shared" si="15"/>
        <v>142600747.21199998</v>
      </c>
      <c r="O146" s="82" t="s">
        <v>358</v>
      </c>
      <c r="P146" s="82" t="s">
        <v>359</v>
      </c>
      <c r="Q146" s="87">
        <v>0</v>
      </c>
      <c r="R146" s="87">
        <v>66823217.999999993</v>
      </c>
      <c r="S146" s="87">
        <v>75777529.211999983</v>
      </c>
      <c r="T146" s="87">
        <v>0</v>
      </c>
      <c r="U146" s="82" t="s">
        <v>772</v>
      </c>
      <c r="V146" s="91" t="s">
        <v>770</v>
      </c>
      <c r="W146" s="96">
        <f t="shared" si="16"/>
        <v>0</v>
      </c>
      <c r="X146" s="91"/>
      <c r="Y146" s="91"/>
      <c r="Z146" s="91"/>
    </row>
    <row r="147" spans="1:26" ht="43" customHeight="1" x14ac:dyDescent="0.35">
      <c r="A147" s="81" t="s">
        <v>337</v>
      </c>
      <c r="B147" s="82" t="s">
        <v>753</v>
      </c>
      <c r="C147" s="82" t="s">
        <v>765</v>
      </c>
      <c r="D147" s="84">
        <v>80111600</v>
      </c>
      <c r="E147" s="99" t="s">
        <v>774</v>
      </c>
      <c r="F147" s="99" t="s">
        <v>775</v>
      </c>
      <c r="G147" s="83" t="s">
        <v>44</v>
      </c>
      <c r="H147" s="83" t="s">
        <v>45</v>
      </c>
      <c r="I147" s="84">
        <v>360</v>
      </c>
      <c r="J147" s="84" t="s">
        <v>403</v>
      </c>
      <c r="K147" s="136">
        <v>9234023203</v>
      </c>
      <c r="L147" s="137">
        <v>0.19</v>
      </c>
      <c r="M147" s="136">
        <v>175446441</v>
      </c>
      <c r="N147" s="138">
        <f t="shared" si="15"/>
        <v>9409469644</v>
      </c>
      <c r="O147" s="82" t="s">
        <v>358</v>
      </c>
      <c r="P147" s="82" t="s">
        <v>359</v>
      </c>
      <c r="Q147" s="87">
        <v>5362997888</v>
      </c>
      <c r="R147" s="87">
        <v>4046471756</v>
      </c>
      <c r="S147" s="87">
        <v>0</v>
      </c>
      <c r="T147" s="87">
        <v>0</v>
      </c>
      <c r="U147" s="82" t="s">
        <v>772</v>
      </c>
      <c r="V147" s="91" t="s">
        <v>776</v>
      </c>
      <c r="W147" s="96">
        <v>5263000871</v>
      </c>
      <c r="X147" s="91" t="s">
        <v>777</v>
      </c>
      <c r="Y147" s="91" t="s">
        <v>778</v>
      </c>
      <c r="Z147" s="91" t="s">
        <v>778</v>
      </c>
    </row>
    <row r="148" spans="1:26" ht="43" customHeight="1" x14ac:dyDescent="0.35">
      <c r="A148" s="81" t="s">
        <v>337</v>
      </c>
      <c r="B148" s="82" t="s">
        <v>753</v>
      </c>
      <c r="C148" s="82" t="s">
        <v>765</v>
      </c>
      <c r="D148" s="84">
        <v>80121706</v>
      </c>
      <c r="E148" s="99" t="s">
        <v>779</v>
      </c>
      <c r="F148" s="99" t="s">
        <v>780</v>
      </c>
      <c r="G148" s="100" t="s">
        <v>53</v>
      </c>
      <c r="H148" s="100" t="s">
        <v>53</v>
      </c>
      <c r="I148" s="84">
        <v>720</v>
      </c>
      <c r="J148" s="84" t="s">
        <v>350</v>
      </c>
      <c r="K148" s="136">
        <v>328842392.71808761</v>
      </c>
      <c r="L148" s="137">
        <v>0.19</v>
      </c>
      <c r="M148" s="136">
        <v>62480054.616436645</v>
      </c>
      <c r="N148" s="138">
        <f t="shared" si="15"/>
        <v>391322447.33452427</v>
      </c>
      <c r="O148" s="82" t="s">
        <v>358</v>
      </c>
      <c r="P148" s="82" t="s">
        <v>359</v>
      </c>
      <c r="Q148" s="87">
        <v>0</v>
      </c>
      <c r="R148" s="87">
        <v>144516533.44722301</v>
      </c>
      <c r="S148" s="87">
        <v>202740307.95358869</v>
      </c>
      <c r="T148" s="87">
        <v>44065605.933712497</v>
      </c>
      <c r="U148" s="82" t="s">
        <v>772</v>
      </c>
      <c r="V148" s="91"/>
      <c r="W148" s="96">
        <f t="shared" si="16"/>
        <v>0</v>
      </c>
      <c r="X148" s="91"/>
      <c r="Y148" s="91"/>
      <c r="Z148" s="91"/>
    </row>
    <row r="149" spans="1:26" ht="43" customHeight="1" x14ac:dyDescent="0.35">
      <c r="A149" s="81" t="s">
        <v>337</v>
      </c>
      <c r="B149" s="82" t="s">
        <v>753</v>
      </c>
      <c r="C149" s="82" t="s">
        <v>765</v>
      </c>
      <c r="D149" s="84">
        <v>84131601</v>
      </c>
      <c r="E149" s="99" t="s">
        <v>781</v>
      </c>
      <c r="F149" s="135" t="s">
        <v>782</v>
      </c>
      <c r="G149" s="83" t="s">
        <v>43</v>
      </c>
      <c r="H149" s="83" t="s">
        <v>44</v>
      </c>
      <c r="I149" s="84">
        <v>360</v>
      </c>
      <c r="J149" s="84" t="s">
        <v>403</v>
      </c>
      <c r="K149" s="136">
        <v>84553800</v>
      </c>
      <c r="L149" s="137">
        <v>0</v>
      </c>
      <c r="M149" s="136">
        <v>0</v>
      </c>
      <c r="N149" s="138">
        <f t="shared" si="15"/>
        <v>84553800</v>
      </c>
      <c r="O149" s="82" t="s">
        <v>343</v>
      </c>
      <c r="P149" s="82" t="s">
        <v>344</v>
      </c>
      <c r="Q149" s="87">
        <v>84553800</v>
      </c>
      <c r="R149" s="87">
        <v>0</v>
      </c>
      <c r="S149" s="87">
        <v>0</v>
      </c>
      <c r="T149" s="87">
        <v>0</v>
      </c>
      <c r="U149" s="82" t="s">
        <v>772</v>
      </c>
      <c r="V149" s="91"/>
      <c r="W149" s="96">
        <f>+K149</f>
        <v>84553800</v>
      </c>
      <c r="X149" s="91" t="s">
        <v>783</v>
      </c>
      <c r="Y149" s="91" t="s">
        <v>784</v>
      </c>
      <c r="Z149" s="91" t="s">
        <v>785</v>
      </c>
    </row>
    <row r="150" spans="1:26" ht="43" customHeight="1" x14ac:dyDescent="0.35">
      <c r="A150" s="81" t="s">
        <v>337</v>
      </c>
      <c r="B150" s="82" t="s">
        <v>753</v>
      </c>
      <c r="C150" s="99" t="s">
        <v>786</v>
      </c>
      <c r="D150" s="84">
        <v>80111703</v>
      </c>
      <c r="E150" s="99" t="s">
        <v>787</v>
      </c>
      <c r="F150" s="99" t="s">
        <v>788</v>
      </c>
      <c r="G150" s="83" t="s">
        <v>43</v>
      </c>
      <c r="H150" s="83" t="s">
        <v>44</v>
      </c>
      <c r="I150" s="84">
        <v>12</v>
      </c>
      <c r="J150" s="84" t="s">
        <v>342</v>
      </c>
      <c r="K150" s="136">
        <v>138593750</v>
      </c>
      <c r="L150" s="137">
        <v>0.19</v>
      </c>
      <c r="M150" s="136">
        <v>26332812.5</v>
      </c>
      <c r="N150" s="138">
        <v>164926562.5</v>
      </c>
      <c r="O150" s="82" t="s">
        <v>358</v>
      </c>
      <c r="P150" s="82" t="s">
        <v>359</v>
      </c>
      <c r="Q150" s="87">
        <v>123276563</v>
      </c>
      <c r="R150" s="87">
        <v>41650000</v>
      </c>
      <c r="S150" s="87">
        <v>0</v>
      </c>
      <c r="T150" s="87">
        <v>0</v>
      </c>
      <c r="U150" s="82" t="s">
        <v>789</v>
      </c>
      <c r="V150" s="91">
        <v>0</v>
      </c>
      <c r="W150" s="96">
        <f>+Q150/1.19</f>
        <v>103593750.42016807</v>
      </c>
      <c r="X150" s="104" t="s">
        <v>790</v>
      </c>
      <c r="Y150" s="104" t="s">
        <v>790</v>
      </c>
      <c r="Z150" s="104" t="s">
        <v>791</v>
      </c>
    </row>
    <row r="151" spans="1:26" ht="43" customHeight="1" x14ac:dyDescent="0.35">
      <c r="A151" s="81" t="s">
        <v>337</v>
      </c>
      <c r="B151" s="82" t="s">
        <v>753</v>
      </c>
      <c r="C151" s="99" t="s">
        <v>786</v>
      </c>
      <c r="D151" s="84">
        <v>81161801</v>
      </c>
      <c r="E151" s="99" t="s">
        <v>792</v>
      </c>
      <c r="F151" s="99" t="s">
        <v>793</v>
      </c>
      <c r="G151" s="83" t="s">
        <v>42</v>
      </c>
      <c r="H151" s="83" t="s">
        <v>42</v>
      </c>
      <c r="I151" s="84">
        <v>12</v>
      </c>
      <c r="J151" s="84" t="s">
        <v>350</v>
      </c>
      <c r="K151" s="136">
        <v>60000000</v>
      </c>
      <c r="L151" s="137">
        <v>0</v>
      </c>
      <c r="M151" s="136">
        <v>0</v>
      </c>
      <c r="N151" s="138">
        <v>60000000</v>
      </c>
      <c r="O151" s="82" t="s">
        <v>343</v>
      </c>
      <c r="P151" s="82" t="s">
        <v>344</v>
      </c>
      <c r="Q151" s="87">
        <v>60000000</v>
      </c>
      <c r="R151" s="87">
        <v>0</v>
      </c>
      <c r="S151" s="87">
        <v>0</v>
      </c>
      <c r="T151" s="87">
        <v>0</v>
      </c>
      <c r="U151" s="82" t="s">
        <v>789</v>
      </c>
      <c r="V151" s="91" t="s">
        <v>794</v>
      </c>
      <c r="W151" s="96">
        <f>+Q151/1.19</f>
        <v>50420168.067226894</v>
      </c>
      <c r="X151" s="104" t="s">
        <v>790</v>
      </c>
      <c r="Y151" s="104" t="s">
        <v>790</v>
      </c>
      <c r="Z151" s="104" t="s">
        <v>795</v>
      </c>
    </row>
    <row r="152" spans="1:26" ht="43" customHeight="1" x14ac:dyDescent="0.35">
      <c r="A152" s="81" t="s">
        <v>337</v>
      </c>
      <c r="B152" s="82" t="s">
        <v>753</v>
      </c>
      <c r="C152" s="99" t="s">
        <v>786</v>
      </c>
      <c r="D152" s="84">
        <v>81161801</v>
      </c>
      <c r="E152" s="99" t="s">
        <v>792</v>
      </c>
      <c r="F152" s="99" t="s">
        <v>796</v>
      </c>
      <c r="G152" s="83" t="s">
        <v>46</v>
      </c>
      <c r="H152" s="83" t="s">
        <v>47</v>
      </c>
      <c r="I152" s="84">
        <v>6</v>
      </c>
      <c r="J152" s="84" t="s">
        <v>350</v>
      </c>
      <c r="K152" s="136">
        <v>1000000</v>
      </c>
      <c r="L152" s="137">
        <v>0.19</v>
      </c>
      <c r="M152" s="136">
        <v>190000</v>
      </c>
      <c r="N152" s="138">
        <v>1190000</v>
      </c>
      <c r="O152" s="82" t="s">
        <v>343</v>
      </c>
      <c r="P152" s="82" t="s">
        <v>344</v>
      </c>
      <c r="Q152" s="87">
        <v>1190000</v>
      </c>
      <c r="R152" s="87">
        <v>0</v>
      </c>
      <c r="S152" s="87">
        <v>0</v>
      </c>
      <c r="T152" s="87">
        <v>0</v>
      </c>
      <c r="U152" s="82" t="s">
        <v>789</v>
      </c>
      <c r="V152" s="91"/>
      <c r="W152" s="96">
        <f>+K152</f>
        <v>1000000</v>
      </c>
      <c r="X152" s="91" t="s">
        <v>790</v>
      </c>
      <c r="Y152" s="91" t="s">
        <v>790</v>
      </c>
      <c r="Z152" s="91" t="s">
        <v>791</v>
      </c>
    </row>
    <row r="153" spans="1:26" ht="43" customHeight="1" x14ac:dyDescent="0.35">
      <c r="A153" s="81" t="s">
        <v>337</v>
      </c>
      <c r="B153" s="82" t="s">
        <v>753</v>
      </c>
      <c r="C153" s="99" t="s">
        <v>786</v>
      </c>
      <c r="D153" s="84">
        <v>80111504</v>
      </c>
      <c r="E153" s="99" t="s">
        <v>797</v>
      </c>
      <c r="F153" s="99" t="s">
        <v>798</v>
      </c>
      <c r="G153" s="83" t="s">
        <v>42</v>
      </c>
      <c r="H153" s="83" t="s">
        <v>43</v>
      </c>
      <c r="I153" s="84">
        <v>12</v>
      </c>
      <c r="J153" s="84" t="s">
        <v>342</v>
      </c>
      <c r="K153" s="136">
        <v>123731100</v>
      </c>
      <c r="L153" s="137">
        <v>0.19</v>
      </c>
      <c r="M153" s="136">
        <v>23508909</v>
      </c>
      <c r="N153" s="138">
        <v>147240009</v>
      </c>
      <c r="O153" s="82" t="s">
        <v>343</v>
      </c>
      <c r="P153" s="82" t="s">
        <v>344</v>
      </c>
      <c r="Q153" s="87">
        <v>147240009</v>
      </c>
      <c r="R153" s="87">
        <v>0</v>
      </c>
      <c r="S153" s="87">
        <v>0</v>
      </c>
      <c r="T153" s="87">
        <v>0</v>
      </c>
      <c r="U153" s="82" t="s">
        <v>789</v>
      </c>
      <c r="V153" s="91"/>
      <c r="W153" s="96">
        <f>+Q153/1.19</f>
        <v>123731100</v>
      </c>
      <c r="X153" s="104" t="s">
        <v>799</v>
      </c>
      <c r="Y153" s="104" t="s">
        <v>800</v>
      </c>
      <c r="Z153" s="104" t="s">
        <v>801</v>
      </c>
    </row>
    <row r="154" spans="1:26" ht="43" customHeight="1" x14ac:dyDescent="0.35">
      <c r="A154" s="81" t="s">
        <v>337</v>
      </c>
      <c r="B154" s="82" t="s">
        <v>753</v>
      </c>
      <c r="C154" s="99" t="s">
        <v>786</v>
      </c>
      <c r="D154" s="84">
        <v>80111504</v>
      </c>
      <c r="E154" s="99" t="s">
        <v>797</v>
      </c>
      <c r="F154" s="99" t="s">
        <v>802</v>
      </c>
      <c r="G154" s="83" t="s">
        <v>42</v>
      </c>
      <c r="H154" s="83" t="s">
        <v>42</v>
      </c>
      <c r="I154" s="84">
        <v>12</v>
      </c>
      <c r="J154" s="84" t="s">
        <v>350</v>
      </c>
      <c r="K154" s="136">
        <v>30000000</v>
      </c>
      <c r="L154" s="137">
        <v>0.19</v>
      </c>
      <c r="M154" s="136">
        <v>5700000</v>
      </c>
      <c r="N154" s="138">
        <v>35700000</v>
      </c>
      <c r="O154" s="82" t="s">
        <v>343</v>
      </c>
      <c r="P154" s="82" t="s">
        <v>344</v>
      </c>
      <c r="Q154" s="87">
        <v>35700000</v>
      </c>
      <c r="R154" s="87">
        <v>0</v>
      </c>
      <c r="S154" s="87">
        <v>0</v>
      </c>
      <c r="T154" s="87">
        <v>0</v>
      </c>
      <c r="U154" s="82" t="s">
        <v>789</v>
      </c>
      <c r="V154" s="91"/>
      <c r="W154" s="96">
        <f>+Q154/1.19</f>
        <v>30000000</v>
      </c>
      <c r="X154" s="104" t="s">
        <v>799</v>
      </c>
      <c r="Y154" s="104" t="s">
        <v>800</v>
      </c>
      <c r="Z154" s="104" t="s">
        <v>803</v>
      </c>
    </row>
    <row r="155" spans="1:26" ht="43" customHeight="1" x14ac:dyDescent="0.35">
      <c r="A155" s="81" t="s">
        <v>337</v>
      </c>
      <c r="B155" s="82" t="s">
        <v>753</v>
      </c>
      <c r="C155" s="99" t="s">
        <v>786</v>
      </c>
      <c r="D155" s="84">
        <v>80111504</v>
      </c>
      <c r="E155" s="99" t="s">
        <v>797</v>
      </c>
      <c r="F155" s="99" t="s">
        <v>804</v>
      </c>
      <c r="G155" s="83" t="s">
        <v>42</v>
      </c>
      <c r="H155" s="83" t="s">
        <v>42</v>
      </c>
      <c r="I155" s="84">
        <v>12</v>
      </c>
      <c r="J155" s="84" t="s">
        <v>350</v>
      </c>
      <c r="K155" s="136">
        <v>30000000</v>
      </c>
      <c r="L155" s="137">
        <v>0.19</v>
      </c>
      <c r="M155" s="136">
        <v>5700000</v>
      </c>
      <c r="N155" s="138">
        <v>35700000</v>
      </c>
      <c r="O155" s="82" t="s">
        <v>343</v>
      </c>
      <c r="P155" s="82" t="s">
        <v>344</v>
      </c>
      <c r="Q155" s="87">
        <v>35700000</v>
      </c>
      <c r="R155" s="87">
        <v>0</v>
      </c>
      <c r="S155" s="87">
        <v>0</v>
      </c>
      <c r="T155" s="87">
        <v>0</v>
      </c>
      <c r="U155" s="82" t="s">
        <v>789</v>
      </c>
      <c r="V155" s="91"/>
      <c r="W155" s="96">
        <f>+Q155/1.19</f>
        <v>30000000</v>
      </c>
      <c r="X155" s="104" t="s">
        <v>799</v>
      </c>
      <c r="Y155" s="104" t="s">
        <v>800</v>
      </c>
      <c r="Z155" s="104" t="s">
        <v>803</v>
      </c>
    </row>
    <row r="156" spans="1:26" ht="43" customHeight="1" x14ac:dyDescent="0.35">
      <c r="A156" s="81" t="s">
        <v>337</v>
      </c>
      <c r="B156" s="82" t="s">
        <v>753</v>
      </c>
      <c r="C156" s="99" t="s">
        <v>786</v>
      </c>
      <c r="D156" s="84">
        <v>80111504</v>
      </c>
      <c r="E156" s="99" t="s">
        <v>797</v>
      </c>
      <c r="F156" s="99" t="s">
        <v>805</v>
      </c>
      <c r="G156" s="83" t="s">
        <v>42</v>
      </c>
      <c r="H156" s="83" t="s">
        <v>42</v>
      </c>
      <c r="I156" s="84">
        <v>12</v>
      </c>
      <c r="J156" s="84" t="s">
        <v>350</v>
      </c>
      <c r="K156" s="136">
        <v>39904300</v>
      </c>
      <c r="L156" s="137">
        <v>0.19</v>
      </c>
      <c r="M156" s="136">
        <v>7581817</v>
      </c>
      <c r="N156" s="138">
        <v>47486117</v>
      </c>
      <c r="O156" s="82" t="s">
        <v>343</v>
      </c>
      <c r="P156" s="82" t="s">
        <v>344</v>
      </c>
      <c r="Q156" s="87">
        <v>47486117</v>
      </c>
      <c r="R156" s="87">
        <v>0</v>
      </c>
      <c r="S156" s="87">
        <v>0</v>
      </c>
      <c r="T156" s="87">
        <v>0</v>
      </c>
      <c r="U156" s="82" t="s">
        <v>789</v>
      </c>
      <c r="V156" s="91" t="s">
        <v>806</v>
      </c>
      <c r="W156" s="96">
        <f>+Q156/1.19</f>
        <v>39904300</v>
      </c>
      <c r="X156" s="104" t="s">
        <v>799</v>
      </c>
      <c r="Y156" s="104" t="s">
        <v>800</v>
      </c>
      <c r="Z156" s="104" t="s">
        <v>803</v>
      </c>
    </row>
    <row r="157" spans="1:26" ht="43" customHeight="1" x14ac:dyDescent="0.35">
      <c r="A157" s="81" t="s">
        <v>337</v>
      </c>
      <c r="B157" s="82" t="s">
        <v>753</v>
      </c>
      <c r="C157" s="82" t="s">
        <v>807</v>
      </c>
      <c r="D157" s="139">
        <v>42181500</v>
      </c>
      <c r="E157" s="82" t="s">
        <v>808</v>
      </c>
      <c r="F157" s="132" t="s">
        <v>809</v>
      </c>
      <c r="G157" s="100" t="s">
        <v>53</v>
      </c>
      <c r="H157" s="83" t="s">
        <v>53</v>
      </c>
      <c r="I157" s="83">
        <v>12</v>
      </c>
      <c r="J157" s="84" t="s">
        <v>350</v>
      </c>
      <c r="K157" s="85">
        <v>50000000</v>
      </c>
      <c r="L157" s="86">
        <v>0.19</v>
      </c>
      <c r="M157" s="85">
        <v>9500000</v>
      </c>
      <c r="N157" s="85">
        <v>59500000</v>
      </c>
      <c r="O157" s="82" t="s">
        <v>343</v>
      </c>
      <c r="P157" s="82" t="s">
        <v>344</v>
      </c>
      <c r="Q157" s="85">
        <f>+N157</f>
        <v>59500000</v>
      </c>
      <c r="R157" s="87">
        <v>0</v>
      </c>
      <c r="S157" s="87">
        <v>0</v>
      </c>
      <c r="T157" s="87">
        <v>0</v>
      </c>
      <c r="U157" s="82" t="s">
        <v>810</v>
      </c>
      <c r="V157" s="91"/>
      <c r="W157" s="96">
        <f>+K157</f>
        <v>50000000</v>
      </c>
      <c r="X157" s="104" t="s">
        <v>811</v>
      </c>
      <c r="Y157" s="104" t="s">
        <v>811</v>
      </c>
      <c r="Z157" s="104" t="s">
        <v>812</v>
      </c>
    </row>
    <row r="158" spans="1:26" ht="43" customHeight="1" x14ac:dyDescent="0.35">
      <c r="A158" s="81" t="s">
        <v>337</v>
      </c>
      <c r="B158" s="82" t="s">
        <v>753</v>
      </c>
      <c r="C158" s="82" t="s">
        <v>807</v>
      </c>
      <c r="D158" s="139">
        <v>81101703</v>
      </c>
      <c r="E158" s="82" t="s">
        <v>813</v>
      </c>
      <c r="F158" s="132" t="s">
        <v>814</v>
      </c>
      <c r="G158" s="83" t="s">
        <v>42</v>
      </c>
      <c r="H158" s="83" t="s">
        <v>42</v>
      </c>
      <c r="I158" s="83">
        <v>12</v>
      </c>
      <c r="J158" s="84" t="s">
        <v>350</v>
      </c>
      <c r="K158" s="85">
        <v>45000000</v>
      </c>
      <c r="L158" s="86">
        <v>0.19</v>
      </c>
      <c r="M158" s="85">
        <v>8550000</v>
      </c>
      <c r="N158" s="85">
        <v>53550000</v>
      </c>
      <c r="O158" s="82" t="s">
        <v>343</v>
      </c>
      <c r="P158" s="82" t="s">
        <v>344</v>
      </c>
      <c r="Q158" s="85">
        <f>+N158</f>
        <v>53550000</v>
      </c>
      <c r="R158" s="87">
        <v>0</v>
      </c>
      <c r="S158" s="87">
        <v>0</v>
      </c>
      <c r="T158" s="87">
        <v>0</v>
      </c>
      <c r="U158" s="82" t="s">
        <v>810</v>
      </c>
      <c r="V158" s="91"/>
      <c r="W158" s="96">
        <f>+K158</f>
        <v>45000000</v>
      </c>
      <c r="X158" s="104" t="s">
        <v>811</v>
      </c>
      <c r="Y158" s="104" t="s">
        <v>811</v>
      </c>
      <c r="Z158" s="104" t="s">
        <v>812</v>
      </c>
    </row>
    <row r="159" spans="1:26" ht="43" customHeight="1" x14ac:dyDescent="0.35">
      <c r="A159" s="81" t="s">
        <v>337</v>
      </c>
      <c r="B159" s="82" t="s">
        <v>753</v>
      </c>
      <c r="C159" s="82" t="s">
        <v>807</v>
      </c>
      <c r="D159" s="139">
        <v>42172002</v>
      </c>
      <c r="E159" s="82" t="s">
        <v>815</v>
      </c>
      <c r="F159" s="132" t="s">
        <v>816</v>
      </c>
      <c r="G159" s="83" t="s">
        <v>43</v>
      </c>
      <c r="H159" s="83" t="s">
        <v>44</v>
      </c>
      <c r="I159" s="83">
        <v>12</v>
      </c>
      <c r="J159" s="84" t="s">
        <v>350</v>
      </c>
      <c r="K159" s="85">
        <v>10000000</v>
      </c>
      <c r="L159" s="86">
        <v>0.19</v>
      </c>
      <c r="M159" s="85">
        <v>1900000</v>
      </c>
      <c r="N159" s="85">
        <v>11900000</v>
      </c>
      <c r="O159" s="82" t="s">
        <v>343</v>
      </c>
      <c r="P159" s="82" t="s">
        <v>344</v>
      </c>
      <c r="Q159" s="85">
        <f>+N159</f>
        <v>11900000</v>
      </c>
      <c r="R159" s="87">
        <v>0</v>
      </c>
      <c r="S159" s="87">
        <v>0</v>
      </c>
      <c r="T159" s="87">
        <v>0</v>
      </c>
      <c r="U159" s="82" t="s">
        <v>810</v>
      </c>
      <c r="V159" s="91"/>
      <c r="W159" s="96">
        <f>+K159</f>
        <v>10000000</v>
      </c>
      <c r="X159" s="104" t="s">
        <v>811</v>
      </c>
      <c r="Y159" s="104" t="s">
        <v>811</v>
      </c>
      <c r="Z159" s="104" t="s">
        <v>812</v>
      </c>
    </row>
    <row r="160" spans="1:26" ht="43" customHeight="1" x14ac:dyDescent="0.35">
      <c r="A160" s="81" t="s">
        <v>337</v>
      </c>
      <c r="B160" s="82" t="s">
        <v>753</v>
      </c>
      <c r="C160" s="82" t="s">
        <v>807</v>
      </c>
      <c r="D160" s="139">
        <v>56112003</v>
      </c>
      <c r="E160" s="82" t="s">
        <v>817</v>
      </c>
      <c r="F160" s="132" t="s">
        <v>818</v>
      </c>
      <c r="G160" s="83" t="s">
        <v>43</v>
      </c>
      <c r="H160" s="83" t="s">
        <v>44</v>
      </c>
      <c r="I160" s="83">
        <v>6</v>
      </c>
      <c r="J160" s="84" t="s">
        <v>350</v>
      </c>
      <c r="K160" s="85">
        <v>27992167</v>
      </c>
      <c r="L160" s="86">
        <v>0.19</v>
      </c>
      <c r="M160" s="85">
        <v>5318511.7300000004</v>
      </c>
      <c r="N160" s="85">
        <v>33310678.73</v>
      </c>
      <c r="O160" s="82" t="s">
        <v>343</v>
      </c>
      <c r="P160" s="82" t="s">
        <v>344</v>
      </c>
      <c r="Q160" s="85">
        <f>+N160</f>
        <v>33310678.73</v>
      </c>
      <c r="R160" s="87">
        <v>0</v>
      </c>
      <c r="S160" s="87">
        <v>0</v>
      </c>
      <c r="T160" s="87">
        <v>0</v>
      </c>
      <c r="U160" s="82" t="s">
        <v>810</v>
      </c>
      <c r="V160" s="91"/>
      <c r="W160" s="96">
        <f>+K160</f>
        <v>27992167</v>
      </c>
      <c r="X160" s="104" t="s">
        <v>811</v>
      </c>
      <c r="Y160" s="104" t="s">
        <v>811</v>
      </c>
      <c r="Z160" s="104" t="s">
        <v>812</v>
      </c>
    </row>
    <row r="161" spans="1:26" ht="43" customHeight="1" x14ac:dyDescent="0.35">
      <c r="A161" s="81" t="s">
        <v>337</v>
      </c>
      <c r="B161" s="82" t="s">
        <v>753</v>
      </c>
      <c r="C161" s="82" t="s">
        <v>807</v>
      </c>
      <c r="D161" s="139">
        <v>80101500</v>
      </c>
      <c r="E161" s="82" t="s">
        <v>340</v>
      </c>
      <c r="F161" s="132" t="s">
        <v>819</v>
      </c>
      <c r="G161" s="83" t="s">
        <v>43</v>
      </c>
      <c r="H161" s="83" t="s">
        <v>44</v>
      </c>
      <c r="I161" s="83">
        <v>12</v>
      </c>
      <c r="J161" s="133" t="s">
        <v>350</v>
      </c>
      <c r="K161" s="85">
        <v>10000000</v>
      </c>
      <c r="L161" s="86">
        <v>0.19</v>
      </c>
      <c r="M161" s="85">
        <v>1900000</v>
      </c>
      <c r="N161" s="85">
        <v>11900000</v>
      </c>
      <c r="O161" s="82" t="s">
        <v>343</v>
      </c>
      <c r="P161" s="82" t="s">
        <v>344</v>
      </c>
      <c r="Q161" s="85">
        <f>+N161</f>
        <v>11900000</v>
      </c>
      <c r="R161" s="87">
        <v>0</v>
      </c>
      <c r="S161" s="87">
        <v>0</v>
      </c>
      <c r="T161" s="87">
        <v>0</v>
      </c>
      <c r="U161" s="82" t="s">
        <v>820</v>
      </c>
      <c r="V161" s="91"/>
      <c r="W161" s="96">
        <f>+K161</f>
        <v>10000000</v>
      </c>
      <c r="X161" s="104" t="s">
        <v>811</v>
      </c>
      <c r="Y161" s="104" t="s">
        <v>811</v>
      </c>
      <c r="Z161" s="104" t="s">
        <v>812</v>
      </c>
    </row>
    <row r="162" spans="1:26" ht="43" customHeight="1" x14ac:dyDescent="0.35">
      <c r="A162" s="81" t="s">
        <v>337</v>
      </c>
      <c r="B162" s="82" t="s">
        <v>753</v>
      </c>
      <c r="C162" s="82" t="s">
        <v>807</v>
      </c>
      <c r="D162" s="139">
        <v>80101511</v>
      </c>
      <c r="E162" s="82" t="s">
        <v>821</v>
      </c>
      <c r="F162" s="132" t="s">
        <v>821</v>
      </c>
      <c r="G162" s="83" t="s">
        <v>42</v>
      </c>
      <c r="H162" s="83" t="s">
        <v>43</v>
      </c>
      <c r="I162" s="83">
        <v>36</v>
      </c>
      <c r="J162" s="84" t="s">
        <v>403</v>
      </c>
      <c r="K162" s="85">
        <v>3606233668.2164927</v>
      </c>
      <c r="L162" s="86">
        <v>0.19</v>
      </c>
      <c r="M162" s="85">
        <v>685184396.9611336</v>
      </c>
      <c r="N162" s="85">
        <f>+M162+K162</f>
        <v>4291418065.1776261</v>
      </c>
      <c r="O162" s="82" t="s">
        <v>358</v>
      </c>
      <c r="P162" s="82" t="s">
        <v>359</v>
      </c>
      <c r="Q162" s="85">
        <v>910607218.93636107</v>
      </c>
      <c r="R162" s="87">
        <v>1376838115.0317779</v>
      </c>
      <c r="S162" s="87">
        <v>1561334422.4460361</v>
      </c>
      <c r="T162" s="87">
        <v>442638308.76345122</v>
      </c>
      <c r="U162" s="82" t="s">
        <v>820</v>
      </c>
      <c r="V162" s="91"/>
      <c r="W162" s="96">
        <f t="shared" ref="W162:W208" si="17">+Q162/1.19</f>
        <v>765216150.36669004</v>
      </c>
      <c r="X162" s="104" t="s">
        <v>347</v>
      </c>
      <c r="Y162" s="104" t="s">
        <v>347</v>
      </c>
      <c r="Z162" s="104" t="s">
        <v>822</v>
      </c>
    </row>
    <row r="163" spans="1:26" ht="43" customHeight="1" x14ac:dyDescent="0.35">
      <c r="A163" s="81" t="s">
        <v>337</v>
      </c>
      <c r="B163" s="82" t="s">
        <v>753</v>
      </c>
      <c r="C163" s="82" t="s">
        <v>765</v>
      </c>
      <c r="D163" s="139">
        <v>90141500</v>
      </c>
      <c r="E163" s="82" t="s">
        <v>823</v>
      </c>
      <c r="F163" s="82" t="s">
        <v>824</v>
      </c>
      <c r="G163" s="83" t="s">
        <v>43</v>
      </c>
      <c r="H163" s="83" t="s">
        <v>44</v>
      </c>
      <c r="I163" s="83">
        <v>8</v>
      </c>
      <c r="J163" s="84" t="s">
        <v>350</v>
      </c>
      <c r="K163" s="87">
        <v>20000000</v>
      </c>
      <c r="L163" s="86">
        <v>0</v>
      </c>
      <c r="M163" s="87">
        <v>0</v>
      </c>
      <c r="N163" s="87">
        <v>20000000</v>
      </c>
      <c r="O163" s="82" t="s">
        <v>343</v>
      </c>
      <c r="P163" s="82" t="s">
        <v>344</v>
      </c>
      <c r="Q163" s="85">
        <f>+N163</f>
        <v>20000000</v>
      </c>
      <c r="R163" s="87">
        <v>0</v>
      </c>
      <c r="S163" s="87">
        <v>0</v>
      </c>
      <c r="T163" s="87">
        <v>0</v>
      </c>
      <c r="U163" s="82" t="s">
        <v>820</v>
      </c>
      <c r="V163" s="91"/>
      <c r="W163" s="96">
        <f t="shared" si="17"/>
        <v>16806722.68907563</v>
      </c>
      <c r="X163" s="104" t="s">
        <v>811</v>
      </c>
      <c r="Y163" s="104" t="s">
        <v>811</v>
      </c>
      <c r="Z163" s="104" t="s">
        <v>825</v>
      </c>
    </row>
    <row r="164" spans="1:26" ht="43" customHeight="1" x14ac:dyDescent="0.35">
      <c r="A164" s="81" t="s">
        <v>337</v>
      </c>
      <c r="B164" s="82" t="s">
        <v>753</v>
      </c>
      <c r="C164" s="82" t="s">
        <v>765</v>
      </c>
      <c r="D164" s="139">
        <v>80141607</v>
      </c>
      <c r="E164" s="82" t="s">
        <v>826</v>
      </c>
      <c r="F164" s="82" t="s">
        <v>827</v>
      </c>
      <c r="G164" s="83" t="s">
        <v>42</v>
      </c>
      <c r="H164" s="83" t="s">
        <v>42</v>
      </c>
      <c r="I164" s="83">
        <v>12</v>
      </c>
      <c r="J164" s="133" t="s">
        <v>350</v>
      </c>
      <c r="K164" s="87">
        <v>374000000</v>
      </c>
      <c r="L164" s="86">
        <v>0.19</v>
      </c>
      <c r="M164" s="87">
        <f>+L164*K164</f>
        <v>71060000</v>
      </c>
      <c r="N164" s="87">
        <f>+M164+K164</f>
        <v>445060000</v>
      </c>
      <c r="O164" s="82" t="s">
        <v>343</v>
      </c>
      <c r="P164" s="82" t="s">
        <v>344</v>
      </c>
      <c r="Q164" s="85">
        <f>+N164</f>
        <v>445060000</v>
      </c>
      <c r="R164" s="87">
        <v>0</v>
      </c>
      <c r="S164" s="87">
        <v>0</v>
      </c>
      <c r="T164" s="87">
        <v>0</v>
      </c>
      <c r="U164" s="82" t="s">
        <v>820</v>
      </c>
      <c r="V164" s="91"/>
      <c r="W164" s="96">
        <f t="shared" si="17"/>
        <v>374000000</v>
      </c>
      <c r="X164" s="104" t="s">
        <v>811</v>
      </c>
      <c r="Y164" s="104" t="s">
        <v>811</v>
      </c>
      <c r="Z164" s="104" t="s">
        <v>825</v>
      </c>
    </row>
    <row r="165" spans="1:26" ht="43" customHeight="1" x14ac:dyDescent="0.35">
      <c r="A165" s="81" t="s">
        <v>337</v>
      </c>
      <c r="B165" s="82" t="s">
        <v>753</v>
      </c>
      <c r="C165" s="82" t="s">
        <v>765</v>
      </c>
      <c r="D165" s="139">
        <v>50192301</v>
      </c>
      <c r="E165" s="82" t="s">
        <v>828</v>
      </c>
      <c r="F165" s="82" t="s">
        <v>829</v>
      </c>
      <c r="G165" s="83" t="s">
        <v>42</v>
      </c>
      <c r="H165" s="83" t="s">
        <v>42</v>
      </c>
      <c r="I165" s="83">
        <v>12</v>
      </c>
      <c r="J165" s="84" t="s">
        <v>350</v>
      </c>
      <c r="K165" s="87">
        <v>40000000</v>
      </c>
      <c r="L165" s="86">
        <v>0.19</v>
      </c>
      <c r="M165" s="87">
        <f>+K165*0.19</f>
        <v>7600000</v>
      </c>
      <c r="N165" s="87">
        <f>+M165+K165</f>
        <v>47600000</v>
      </c>
      <c r="O165" s="82" t="s">
        <v>343</v>
      </c>
      <c r="P165" s="82" t="s">
        <v>344</v>
      </c>
      <c r="Q165" s="85">
        <f>+N165</f>
        <v>47600000</v>
      </c>
      <c r="R165" s="87">
        <v>0</v>
      </c>
      <c r="S165" s="87">
        <v>0</v>
      </c>
      <c r="T165" s="87">
        <v>0</v>
      </c>
      <c r="U165" s="82" t="s">
        <v>820</v>
      </c>
      <c r="V165" s="91"/>
      <c r="W165" s="96">
        <f t="shared" si="17"/>
        <v>40000000</v>
      </c>
      <c r="X165" s="104" t="s">
        <v>811</v>
      </c>
      <c r="Y165" s="104" t="s">
        <v>811</v>
      </c>
      <c r="Z165" s="104" t="s">
        <v>825</v>
      </c>
    </row>
    <row r="166" spans="1:26" ht="43" customHeight="1" x14ac:dyDescent="0.35">
      <c r="A166" s="81" t="s">
        <v>337</v>
      </c>
      <c r="B166" s="82" t="s">
        <v>753</v>
      </c>
      <c r="C166" s="82" t="s">
        <v>807</v>
      </c>
      <c r="D166" s="83">
        <v>84131602</v>
      </c>
      <c r="E166" s="82" t="s">
        <v>830</v>
      </c>
      <c r="F166" s="132" t="s">
        <v>831</v>
      </c>
      <c r="G166" s="83" t="s">
        <v>51</v>
      </c>
      <c r="H166" s="83" t="s">
        <v>52</v>
      </c>
      <c r="I166" s="83">
        <v>12</v>
      </c>
      <c r="J166" s="133" t="s">
        <v>350</v>
      </c>
      <c r="K166" s="85">
        <v>8630841114</v>
      </c>
      <c r="L166" s="86">
        <v>0.05</v>
      </c>
      <c r="M166" s="85">
        <v>431542055.70000005</v>
      </c>
      <c r="N166" s="85">
        <v>9062383169.7000008</v>
      </c>
      <c r="O166" s="82" t="s">
        <v>343</v>
      </c>
      <c r="P166" s="82" t="s">
        <v>344</v>
      </c>
      <c r="Q166" s="85">
        <v>0</v>
      </c>
      <c r="R166" s="87">
        <v>9062383170</v>
      </c>
      <c r="S166" s="87">
        <v>0</v>
      </c>
      <c r="T166" s="87">
        <v>0</v>
      </c>
      <c r="U166" s="82" t="s">
        <v>832</v>
      </c>
      <c r="V166" s="91" t="s">
        <v>833</v>
      </c>
      <c r="W166" s="96">
        <f t="shared" si="17"/>
        <v>0</v>
      </c>
      <c r="X166" s="104" t="s">
        <v>783</v>
      </c>
      <c r="Y166" s="104" t="s">
        <v>784</v>
      </c>
      <c r="Z166" s="104" t="s">
        <v>834</v>
      </c>
    </row>
    <row r="167" spans="1:26" ht="43" customHeight="1" x14ac:dyDescent="0.35">
      <c r="A167" s="81" t="s">
        <v>337</v>
      </c>
      <c r="B167" s="82" t="s">
        <v>753</v>
      </c>
      <c r="C167" s="82" t="s">
        <v>807</v>
      </c>
      <c r="D167" s="83">
        <v>84131601</v>
      </c>
      <c r="E167" s="82" t="s">
        <v>781</v>
      </c>
      <c r="F167" s="132" t="s">
        <v>835</v>
      </c>
      <c r="G167" s="83" t="s">
        <v>51</v>
      </c>
      <c r="H167" s="83" t="s">
        <v>52</v>
      </c>
      <c r="I167" s="83">
        <v>12</v>
      </c>
      <c r="J167" s="133" t="s">
        <v>350</v>
      </c>
      <c r="K167" s="85">
        <v>1311936747.408</v>
      </c>
      <c r="L167" s="86">
        <v>0</v>
      </c>
      <c r="M167" s="85">
        <v>0</v>
      </c>
      <c r="N167" s="85">
        <v>1311936747.408</v>
      </c>
      <c r="O167" s="82" t="s">
        <v>343</v>
      </c>
      <c r="P167" s="82" t="s">
        <v>344</v>
      </c>
      <c r="Q167" s="85">
        <v>0</v>
      </c>
      <c r="R167" s="85">
        <v>1311936747</v>
      </c>
      <c r="S167" s="87">
        <v>0</v>
      </c>
      <c r="T167" s="87">
        <v>0</v>
      </c>
      <c r="U167" s="82" t="s">
        <v>832</v>
      </c>
      <c r="V167" s="91" t="s">
        <v>836</v>
      </c>
      <c r="W167" s="96">
        <f t="shared" si="17"/>
        <v>0</v>
      </c>
      <c r="X167" s="104" t="s">
        <v>783</v>
      </c>
      <c r="Y167" s="104" t="s">
        <v>784</v>
      </c>
      <c r="Z167" s="104" t="s">
        <v>785</v>
      </c>
    </row>
    <row r="168" spans="1:26" ht="43" customHeight="1" x14ac:dyDescent="0.35">
      <c r="A168" s="81" t="s">
        <v>337</v>
      </c>
      <c r="B168" s="82" t="s">
        <v>753</v>
      </c>
      <c r="C168" s="82" t="s">
        <v>807</v>
      </c>
      <c r="D168" s="83">
        <v>84131601</v>
      </c>
      <c r="E168" s="82" t="s">
        <v>781</v>
      </c>
      <c r="F168" s="132" t="s">
        <v>837</v>
      </c>
      <c r="G168" s="83" t="s">
        <v>51</v>
      </c>
      <c r="H168" s="83" t="s">
        <v>52</v>
      </c>
      <c r="I168" s="83">
        <v>12</v>
      </c>
      <c r="J168" s="133" t="s">
        <v>350</v>
      </c>
      <c r="K168" s="85">
        <v>110000000</v>
      </c>
      <c r="L168" s="86">
        <v>0</v>
      </c>
      <c r="M168" s="85">
        <v>0</v>
      </c>
      <c r="N168" s="85">
        <v>110000000</v>
      </c>
      <c r="O168" s="82" t="s">
        <v>343</v>
      </c>
      <c r="P168" s="82" t="s">
        <v>344</v>
      </c>
      <c r="Q168" s="85">
        <v>0</v>
      </c>
      <c r="R168" s="87">
        <v>110000000</v>
      </c>
      <c r="S168" s="87">
        <v>0</v>
      </c>
      <c r="T168" s="87">
        <v>0</v>
      </c>
      <c r="U168" s="82" t="s">
        <v>832</v>
      </c>
      <c r="V168" s="91" t="s">
        <v>838</v>
      </c>
      <c r="W168" s="96">
        <f t="shared" si="17"/>
        <v>0</v>
      </c>
      <c r="X168" s="104" t="s">
        <v>783</v>
      </c>
      <c r="Y168" s="104" t="s">
        <v>784</v>
      </c>
      <c r="Z168" s="104" t="s">
        <v>839</v>
      </c>
    </row>
    <row r="169" spans="1:26" ht="43" customHeight="1" x14ac:dyDescent="0.35">
      <c r="A169" s="81" t="s">
        <v>337</v>
      </c>
      <c r="B169" s="82" t="s">
        <v>753</v>
      </c>
      <c r="C169" s="82" t="s">
        <v>807</v>
      </c>
      <c r="D169" s="83">
        <v>70171708</v>
      </c>
      <c r="E169" s="82" t="s">
        <v>840</v>
      </c>
      <c r="F169" s="132" t="s">
        <v>841</v>
      </c>
      <c r="G169" s="83" t="s">
        <v>42</v>
      </c>
      <c r="H169" s="83" t="s">
        <v>43</v>
      </c>
      <c r="I169" s="83">
        <v>36</v>
      </c>
      <c r="J169" s="84" t="s">
        <v>350</v>
      </c>
      <c r="K169" s="85">
        <v>0</v>
      </c>
      <c r="L169" s="86">
        <v>0</v>
      </c>
      <c r="M169" s="85">
        <v>0</v>
      </c>
      <c r="N169" s="85">
        <v>0</v>
      </c>
      <c r="O169" s="82" t="s">
        <v>343</v>
      </c>
      <c r="P169" s="82" t="s">
        <v>344</v>
      </c>
      <c r="Q169" s="85">
        <v>0</v>
      </c>
      <c r="R169" s="87">
        <v>0</v>
      </c>
      <c r="S169" s="87">
        <v>0</v>
      </c>
      <c r="T169" s="87">
        <v>0</v>
      </c>
      <c r="U169" s="82" t="s">
        <v>832</v>
      </c>
      <c r="V169" s="91" t="s">
        <v>842</v>
      </c>
      <c r="W169" s="96">
        <f t="shared" si="17"/>
        <v>0</v>
      </c>
      <c r="X169" s="91"/>
      <c r="Y169" s="91"/>
      <c r="Z169" s="91"/>
    </row>
    <row r="170" spans="1:26" ht="43" customHeight="1" x14ac:dyDescent="0.35">
      <c r="A170" s="81" t="s">
        <v>337</v>
      </c>
      <c r="B170" s="82" t="s">
        <v>753</v>
      </c>
      <c r="C170" s="82" t="s">
        <v>807</v>
      </c>
      <c r="D170" s="83">
        <v>84131501</v>
      </c>
      <c r="E170" s="82" t="s">
        <v>843</v>
      </c>
      <c r="F170" s="132" t="s">
        <v>844</v>
      </c>
      <c r="G170" s="83" t="s">
        <v>51</v>
      </c>
      <c r="H170" s="83" t="s">
        <v>52</v>
      </c>
      <c r="I170" s="83">
        <v>12</v>
      </c>
      <c r="J170" s="133" t="s">
        <v>350</v>
      </c>
      <c r="K170" s="85">
        <v>105042017</v>
      </c>
      <c r="L170" s="86">
        <v>0.19</v>
      </c>
      <c r="M170" s="85">
        <v>19957983</v>
      </c>
      <c r="N170" s="85">
        <v>125000000</v>
      </c>
      <c r="O170" s="82" t="s">
        <v>343</v>
      </c>
      <c r="P170" s="82" t="s">
        <v>344</v>
      </c>
      <c r="Q170" s="85">
        <v>0</v>
      </c>
      <c r="R170" s="87">
        <v>125000000</v>
      </c>
      <c r="S170" s="87">
        <v>0</v>
      </c>
      <c r="T170" s="87">
        <v>0</v>
      </c>
      <c r="U170" s="82" t="s">
        <v>832</v>
      </c>
      <c r="V170" s="91" t="s">
        <v>845</v>
      </c>
      <c r="W170" s="96">
        <f t="shared" si="17"/>
        <v>0</v>
      </c>
      <c r="X170" s="104" t="s">
        <v>783</v>
      </c>
      <c r="Y170" s="104" t="s">
        <v>784</v>
      </c>
      <c r="Z170" s="104" t="s">
        <v>846</v>
      </c>
    </row>
    <row r="171" spans="1:26" ht="43" customHeight="1" x14ac:dyDescent="0.35">
      <c r="A171" s="81" t="s">
        <v>337</v>
      </c>
      <c r="B171" s="82" t="s">
        <v>753</v>
      </c>
      <c r="C171" s="82" t="s">
        <v>807</v>
      </c>
      <c r="D171" s="83">
        <v>90121502</v>
      </c>
      <c r="E171" s="82" t="s">
        <v>847</v>
      </c>
      <c r="F171" s="132" t="s">
        <v>848</v>
      </c>
      <c r="G171" s="83" t="s">
        <v>44</v>
      </c>
      <c r="H171" s="83" t="s">
        <v>45</v>
      </c>
      <c r="I171" s="83">
        <v>24</v>
      </c>
      <c r="J171" s="84" t="s">
        <v>403</v>
      </c>
      <c r="K171" s="85">
        <v>2184046834.2839999</v>
      </c>
      <c r="L171" s="86">
        <v>0.19</v>
      </c>
      <c r="M171" s="85">
        <v>414968898.51396</v>
      </c>
      <c r="N171" s="85">
        <v>2599015732.7979598</v>
      </c>
      <c r="O171" s="82" t="s">
        <v>358</v>
      </c>
      <c r="P171" s="82" t="s">
        <v>359</v>
      </c>
      <c r="Q171" s="85">
        <v>802233900</v>
      </c>
      <c r="R171" s="85">
        <v>1299507867</v>
      </c>
      <c r="S171" s="85">
        <v>497273966</v>
      </c>
      <c r="T171" s="87">
        <v>0</v>
      </c>
      <c r="U171" s="82" t="s">
        <v>832</v>
      </c>
      <c r="V171" s="91" t="s">
        <v>849</v>
      </c>
      <c r="W171" s="96">
        <f t="shared" si="17"/>
        <v>674146134.45378149</v>
      </c>
      <c r="X171" s="104" t="s">
        <v>850</v>
      </c>
      <c r="Y171" s="104" t="s">
        <v>850</v>
      </c>
      <c r="Z171" s="104" t="s">
        <v>851</v>
      </c>
    </row>
    <row r="172" spans="1:26" ht="43" customHeight="1" x14ac:dyDescent="0.35">
      <c r="A172" s="81" t="s">
        <v>337</v>
      </c>
      <c r="B172" s="82" t="s">
        <v>753</v>
      </c>
      <c r="C172" s="82" t="s">
        <v>807</v>
      </c>
      <c r="D172" s="83">
        <v>80121610</v>
      </c>
      <c r="E172" s="82" t="s">
        <v>852</v>
      </c>
      <c r="F172" s="132" t="s">
        <v>853</v>
      </c>
      <c r="G172" s="83" t="s">
        <v>50</v>
      </c>
      <c r="H172" s="83" t="s">
        <v>51</v>
      </c>
      <c r="I172" s="83">
        <v>36</v>
      </c>
      <c r="J172" s="84" t="s">
        <v>350</v>
      </c>
      <c r="K172" s="85">
        <v>918054600</v>
      </c>
      <c r="L172" s="86">
        <v>0</v>
      </c>
      <c r="M172" s="85">
        <v>0</v>
      </c>
      <c r="N172" s="85">
        <v>918054600</v>
      </c>
      <c r="O172" s="82" t="s">
        <v>358</v>
      </c>
      <c r="P172" s="82" t="s">
        <v>359</v>
      </c>
      <c r="Q172" s="85">
        <v>0</v>
      </c>
      <c r="R172" s="85">
        <v>268440500</v>
      </c>
      <c r="S172" s="85">
        <v>304411500</v>
      </c>
      <c r="T172" s="85">
        <v>345202600</v>
      </c>
      <c r="U172" s="82" t="s">
        <v>832</v>
      </c>
      <c r="V172" s="91" t="s">
        <v>854</v>
      </c>
      <c r="W172" s="96">
        <f t="shared" si="17"/>
        <v>0</v>
      </c>
      <c r="X172" s="104" t="s">
        <v>347</v>
      </c>
      <c r="Y172" s="104" t="s">
        <v>347</v>
      </c>
      <c r="Z172" s="104" t="s">
        <v>855</v>
      </c>
    </row>
    <row r="173" spans="1:26" ht="43" customHeight="1" x14ac:dyDescent="0.35">
      <c r="A173" s="81" t="s">
        <v>337</v>
      </c>
      <c r="B173" s="82" t="s">
        <v>753</v>
      </c>
      <c r="C173" s="82" t="s">
        <v>856</v>
      </c>
      <c r="D173" s="83">
        <v>70111501</v>
      </c>
      <c r="E173" s="82" t="s">
        <v>857</v>
      </c>
      <c r="F173" s="82" t="s">
        <v>858</v>
      </c>
      <c r="G173" s="83" t="s">
        <v>46</v>
      </c>
      <c r="H173" s="83" t="s">
        <v>47</v>
      </c>
      <c r="I173" s="140">
        <v>3</v>
      </c>
      <c r="J173" s="140" t="s">
        <v>350</v>
      </c>
      <c r="K173" s="87">
        <v>78000000</v>
      </c>
      <c r="L173" s="86">
        <v>0.19</v>
      </c>
      <c r="M173" s="87">
        <f t="shared" ref="M173:M178" si="18">+K173*L173</f>
        <v>14820000</v>
      </c>
      <c r="N173" s="87">
        <f t="shared" ref="N173:N178" si="19">+K173+M173</f>
        <v>92820000</v>
      </c>
      <c r="O173" s="82" t="s">
        <v>343</v>
      </c>
      <c r="P173" s="82" t="s">
        <v>344</v>
      </c>
      <c r="Q173" s="87">
        <v>92820000</v>
      </c>
      <c r="R173" s="87">
        <v>0</v>
      </c>
      <c r="S173" s="87">
        <v>0</v>
      </c>
      <c r="T173" s="87">
        <v>0</v>
      </c>
      <c r="U173" s="82" t="s">
        <v>859</v>
      </c>
      <c r="V173" s="91" t="s">
        <v>860</v>
      </c>
      <c r="W173" s="96">
        <f t="shared" si="17"/>
        <v>78000000</v>
      </c>
      <c r="X173" s="104" t="s">
        <v>861</v>
      </c>
      <c r="Y173" s="104" t="s">
        <v>861</v>
      </c>
      <c r="Z173" s="104" t="s">
        <v>861</v>
      </c>
    </row>
    <row r="174" spans="1:26" ht="43" customHeight="1" x14ac:dyDescent="0.35">
      <c r="A174" s="81" t="s">
        <v>337</v>
      </c>
      <c r="B174" s="82" t="s">
        <v>753</v>
      </c>
      <c r="C174" s="82" t="s">
        <v>856</v>
      </c>
      <c r="D174" s="141" t="s">
        <v>862</v>
      </c>
      <c r="E174" s="142" t="s">
        <v>863</v>
      </c>
      <c r="F174" s="82" t="s">
        <v>864</v>
      </c>
      <c r="G174" s="83" t="s">
        <v>48</v>
      </c>
      <c r="H174" s="83" t="s">
        <v>49</v>
      </c>
      <c r="I174" s="140">
        <v>3</v>
      </c>
      <c r="J174" s="140" t="s">
        <v>350</v>
      </c>
      <c r="K174" s="87">
        <v>3000000</v>
      </c>
      <c r="L174" s="86">
        <v>0.19</v>
      </c>
      <c r="M174" s="87">
        <f t="shared" si="18"/>
        <v>570000</v>
      </c>
      <c r="N174" s="87">
        <f t="shared" si="19"/>
        <v>3570000</v>
      </c>
      <c r="O174" s="82" t="s">
        <v>343</v>
      </c>
      <c r="P174" s="82" t="s">
        <v>344</v>
      </c>
      <c r="Q174" s="87">
        <v>3570000</v>
      </c>
      <c r="R174" s="87">
        <v>0</v>
      </c>
      <c r="S174" s="87">
        <v>0</v>
      </c>
      <c r="T174" s="87">
        <v>0</v>
      </c>
      <c r="U174" s="82" t="s">
        <v>859</v>
      </c>
      <c r="V174" s="91" t="s">
        <v>865</v>
      </c>
      <c r="W174" s="96">
        <f t="shared" si="17"/>
        <v>3000000</v>
      </c>
      <c r="X174" s="91" t="s">
        <v>866</v>
      </c>
      <c r="Y174" s="91"/>
      <c r="Z174" s="91"/>
    </row>
    <row r="175" spans="1:26" ht="43" customHeight="1" x14ac:dyDescent="0.35">
      <c r="A175" s="81" t="s">
        <v>337</v>
      </c>
      <c r="B175" s="82" t="s">
        <v>753</v>
      </c>
      <c r="C175" s="82" t="s">
        <v>867</v>
      </c>
      <c r="D175" s="83">
        <v>73131505</v>
      </c>
      <c r="E175" s="82" t="s">
        <v>868</v>
      </c>
      <c r="F175" s="82" t="s">
        <v>869</v>
      </c>
      <c r="G175" s="83" t="s">
        <v>50</v>
      </c>
      <c r="H175" s="83" t="s">
        <v>51</v>
      </c>
      <c r="I175" s="140">
        <v>12</v>
      </c>
      <c r="J175" s="140" t="s">
        <v>350</v>
      </c>
      <c r="K175" s="87">
        <f>33141427*1.11</f>
        <v>36786983.970000006</v>
      </c>
      <c r="L175" s="86">
        <v>0.01</v>
      </c>
      <c r="M175" s="87">
        <f t="shared" si="18"/>
        <v>367869.83970000007</v>
      </c>
      <c r="N175" s="87">
        <f t="shared" si="19"/>
        <v>37154853.809700005</v>
      </c>
      <c r="O175" s="82" t="s">
        <v>343</v>
      </c>
      <c r="P175" s="82" t="s">
        <v>344</v>
      </c>
      <c r="Q175" s="87">
        <v>0</v>
      </c>
      <c r="R175" s="87">
        <v>37154853.809700005</v>
      </c>
      <c r="S175" s="87">
        <v>0</v>
      </c>
      <c r="T175" s="87">
        <v>0</v>
      </c>
      <c r="U175" s="82" t="s">
        <v>870</v>
      </c>
      <c r="V175" s="91" t="s">
        <v>871</v>
      </c>
      <c r="W175" s="96">
        <f t="shared" si="17"/>
        <v>0</v>
      </c>
      <c r="X175" s="91"/>
      <c r="Y175" s="91"/>
      <c r="Z175" s="91"/>
    </row>
    <row r="176" spans="1:26" ht="43" customHeight="1" x14ac:dyDescent="0.35">
      <c r="A176" s="81" t="s">
        <v>337</v>
      </c>
      <c r="B176" s="82" t="s">
        <v>753</v>
      </c>
      <c r="C176" s="82" t="s">
        <v>867</v>
      </c>
      <c r="D176" s="83">
        <v>44101501</v>
      </c>
      <c r="E176" s="82" t="s">
        <v>872</v>
      </c>
      <c r="F176" s="82" t="s">
        <v>873</v>
      </c>
      <c r="G176" s="83" t="s">
        <v>42</v>
      </c>
      <c r="H176" s="83" t="s">
        <v>42</v>
      </c>
      <c r="I176" s="140">
        <v>36</v>
      </c>
      <c r="J176" s="140" t="s">
        <v>350</v>
      </c>
      <c r="K176" s="87">
        <v>14142495</v>
      </c>
      <c r="L176" s="86">
        <v>0.19</v>
      </c>
      <c r="M176" s="87">
        <f t="shared" si="18"/>
        <v>2687074.05</v>
      </c>
      <c r="N176" s="87">
        <f t="shared" si="19"/>
        <v>16829569.050000001</v>
      </c>
      <c r="O176" s="82" t="s">
        <v>358</v>
      </c>
      <c r="P176" s="82" t="s">
        <v>570</v>
      </c>
      <c r="Q176" s="87">
        <v>5303993</v>
      </c>
      <c r="R176" s="87">
        <v>5622232</v>
      </c>
      <c r="S176" s="87">
        <v>5903344</v>
      </c>
      <c r="T176" s="87">
        <v>0</v>
      </c>
      <c r="U176" s="82" t="s">
        <v>870</v>
      </c>
      <c r="V176" s="82" t="s">
        <v>874</v>
      </c>
      <c r="W176" s="96">
        <f t="shared" si="17"/>
        <v>4457136.9747899165</v>
      </c>
      <c r="X176" s="91"/>
      <c r="Y176" s="91"/>
      <c r="Z176" s="91"/>
    </row>
    <row r="177" spans="1:26" ht="43" customHeight="1" x14ac:dyDescent="0.35">
      <c r="A177" s="81" t="s">
        <v>337</v>
      </c>
      <c r="B177" s="82" t="s">
        <v>753</v>
      </c>
      <c r="C177" s="82" t="s">
        <v>867</v>
      </c>
      <c r="D177" s="83">
        <v>77101802</v>
      </c>
      <c r="E177" s="82" t="s">
        <v>875</v>
      </c>
      <c r="F177" s="82" t="s">
        <v>876</v>
      </c>
      <c r="G177" s="83" t="s">
        <v>47</v>
      </c>
      <c r="H177" s="83" t="s">
        <v>48</v>
      </c>
      <c r="I177" s="140">
        <v>12</v>
      </c>
      <c r="J177" s="140" t="s">
        <v>350</v>
      </c>
      <c r="K177" s="87">
        <v>2210000</v>
      </c>
      <c r="L177" s="86">
        <v>0.19</v>
      </c>
      <c r="M177" s="87">
        <f t="shared" si="18"/>
        <v>419900</v>
      </c>
      <c r="N177" s="87">
        <f t="shared" si="19"/>
        <v>2629900</v>
      </c>
      <c r="O177" s="82" t="s">
        <v>343</v>
      </c>
      <c r="P177" s="82" t="s">
        <v>344</v>
      </c>
      <c r="Q177" s="87">
        <v>2629900</v>
      </c>
      <c r="R177" s="87">
        <v>0</v>
      </c>
      <c r="S177" s="87">
        <v>0</v>
      </c>
      <c r="T177" s="87">
        <v>0</v>
      </c>
      <c r="U177" s="82" t="s">
        <v>870</v>
      </c>
      <c r="V177" s="91"/>
      <c r="W177" s="96">
        <f t="shared" si="17"/>
        <v>2210000</v>
      </c>
      <c r="X177" s="104" t="s">
        <v>877</v>
      </c>
      <c r="Y177" s="104" t="s">
        <v>877</v>
      </c>
      <c r="Z177" s="104" t="s">
        <v>878</v>
      </c>
    </row>
    <row r="178" spans="1:26" ht="43" customHeight="1" x14ac:dyDescent="0.35">
      <c r="A178" s="81" t="s">
        <v>337</v>
      </c>
      <c r="B178" s="82" t="s">
        <v>753</v>
      </c>
      <c r="C178" s="82" t="s">
        <v>867</v>
      </c>
      <c r="D178" s="83">
        <v>48101705</v>
      </c>
      <c r="E178" s="82" t="s">
        <v>879</v>
      </c>
      <c r="F178" s="82" t="s">
        <v>880</v>
      </c>
      <c r="G178" s="83" t="s">
        <v>45</v>
      </c>
      <c r="H178" s="83" t="s">
        <v>46</v>
      </c>
      <c r="I178" s="140">
        <v>12</v>
      </c>
      <c r="J178" s="140" t="s">
        <v>350</v>
      </c>
      <c r="K178" s="87">
        <v>1962739.0714285716</v>
      </c>
      <c r="L178" s="86">
        <v>0.19</v>
      </c>
      <c r="M178" s="87">
        <f t="shared" si="18"/>
        <v>372920.42357142863</v>
      </c>
      <c r="N178" s="87">
        <f t="shared" si="19"/>
        <v>2335659.4950000001</v>
      </c>
      <c r="O178" s="82" t="s">
        <v>343</v>
      </c>
      <c r="P178" s="82" t="s">
        <v>344</v>
      </c>
      <c r="Q178" s="87">
        <v>2335659</v>
      </c>
      <c r="R178" s="87">
        <v>0</v>
      </c>
      <c r="S178" s="87">
        <v>0</v>
      </c>
      <c r="T178" s="87">
        <v>0</v>
      </c>
      <c r="U178" s="82" t="s">
        <v>870</v>
      </c>
      <c r="V178" s="91" t="s">
        <v>881</v>
      </c>
      <c r="W178" s="96">
        <f t="shared" si="17"/>
        <v>1962738.6554621849</v>
      </c>
      <c r="X178" s="104" t="s">
        <v>882</v>
      </c>
      <c r="Y178" s="104" t="s">
        <v>883</v>
      </c>
      <c r="Z178" s="104" t="s">
        <v>883</v>
      </c>
    </row>
    <row r="179" spans="1:26" ht="43" customHeight="1" x14ac:dyDescent="0.35">
      <c r="A179" s="81" t="s">
        <v>337</v>
      </c>
      <c r="B179" s="82" t="s">
        <v>753</v>
      </c>
      <c r="C179" s="82" t="s">
        <v>867</v>
      </c>
      <c r="D179" s="83">
        <v>55121621</v>
      </c>
      <c r="E179" s="82" t="s">
        <v>884</v>
      </c>
      <c r="F179" s="82" t="s">
        <v>885</v>
      </c>
      <c r="G179" s="83" t="s">
        <v>42</v>
      </c>
      <c r="H179" s="83" t="s">
        <v>42</v>
      </c>
      <c r="I179" s="140">
        <v>36</v>
      </c>
      <c r="J179" s="140" t="s">
        <v>350</v>
      </c>
      <c r="K179" s="87">
        <v>43742859</v>
      </c>
      <c r="L179" s="86">
        <v>0.19</v>
      </c>
      <c r="M179" s="87">
        <v>8311143.21</v>
      </c>
      <c r="N179" s="87">
        <v>52054002.210000001</v>
      </c>
      <c r="O179" s="82" t="s">
        <v>358</v>
      </c>
      <c r="P179" s="82" t="s">
        <v>570</v>
      </c>
      <c r="Q179" s="87">
        <v>16405296</v>
      </c>
      <c r="R179" s="87">
        <v>17389613</v>
      </c>
      <c r="S179" s="87">
        <v>18259093</v>
      </c>
      <c r="T179" s="87">
        <v>0</v>
      </c>
      <c r="U179" s="82" t="s">
        <v>870</v>
      </c>
      <c r="V179" s="91"/>
      <c r="W179" s="96">
        <f t="shared" si="17"/>
        <v>13785963.025210084</v>
      </c>
      <c r="X179" s="104"/>
      <c r="Y179" s="104"/>
      <c r="Z179" s="104"/>
    </row>
    <row r="180" spans="1:26" ht="43" customHeight="1" x14ac:dyDescent="0.35">
      <c r="A180" s="81" t="s">
        <v>337</v>
      </c>
      <c r="B180" s="82" t="s">
        <v>753</v>
      </c>
      <c r="C180" s="82" t="s">
        <v>867</v>
      </c>
      <c r="D180" s="83">
        <v>72101511</v>
      </c>
      <c r="E180" s="82" t="s">
        <v>886</v>
      </c>
      <c r="F180" s="82" t="s">
        <v>887</v>
      </c>
      <c r="G180" s="83" t="s">
        <v>49</v>
      </c>
      <c r="H180" s="83" t="s">
        <v>50</v>
      </c>
      <c r="I180" s="140">
        <v>12</v>
      </c>
      <c r="J180" s="140" t="s">
        <v>350</v>
      </c>
      <c r="K180" s="87">
        <v>44200406</v>
      </c>
      <c r="L180" s="86">
        <v>0.19</v>
      </c>
      <c r="M180" s="87">
        <f t="shared" ref="M180:M197" si="20">+K180*L180</f>
        <v>8398077.1400000006</v>
      </c>
      <c r="N180" s="87">
        <f t="shared" ref="N180:N197" si="21">+K180+M180</f>
        <v>52598483.140000001</v>
      </c>
      <c r="O180" s="82" t="s">
        <v>358</v>
      </c>
      <c r="P180" s="82" t="s">
        <v>359</v>
      </c>
      <c r="Q180" s="87">
        <v>4154698.4873333336</v>
      </c>
      <c r="R180" s="87">
        <v>48443784.362306669</v>
      </c>
      <c r="S180" s="87">
        <v>0</v>
      </c>
      <c r="T180" s="87">
        <v>0</v>
      </c>
      <c r="U180" s="82" t="s">
        <v>870</v>
      </c>
      <c r="V180" s="91" t="s">
        <v>888</v>
      </c>
      <c r="W180" s="96">
        <f t="shared" si="17"/>
        <v>3491343.2666666671</v>
      </c>
      <c r="X180" s="104" t="s">
        <v>882</v>
      </c>
      <c r="Y180" s="104" t="s">
        <v>883</v>
      </c>
      <c r="Z180" s="104" t="s">
        <v>889</v>
      </c>
    </row>
    <row r="181" spans="1:26" ht="43" customHeight="1" x14ac:dyDescent="0.35">
      <c r="A181" s="81" t="s">
        <v>337</v>
      </c>
      <c r="B181" s="82" t="s">
        <v>753</v>
      </c>
      <c r="C181" s="82" t="s">
        <v>867</v>
      </c>
      <c r="D181" s="83">
        <v>84131501</v>
      </c>
      <c r="E181" s="82" t="s">
        <v>843</v>
      </c>
      <c r="F181" s="82" t="s">
        <v>890</v>
      </c>
      <c r="G181" s="83" t="s">
        <v>50</v>
      </c>
      <c r="H181" s="83" t="s">
        <v>51</v>
      </c>
      <c r="I181" s="140">
        <v>12</v>
      </c>
      <c r="J181" s="140" t="s">
        <v>350</v>
      </c>
      <c r="K181" s="87">
        <v>0</v>
      </c>
      <c r="L181" s="86">
        <v>0</v>
      </c>
      <c r="M181" s="87">
        <f t="shared" si="20"/>
        <v>0</v>
      </c>
      <c r="N181" s="87">
        <f t="shared" si="21"/>
        <v>0</v>
      </c>
      <c r="O181" s="82" t="s">
        <v>343</v>
      </c>
      <c r="P181" s="82" t="s">
        <v>344</v>
      </c>
      <c r="Q181" s="87">
        <v>0</v>
      </c>
      <c r="R181" s="87">
        <v>0</v>
      </c>
      <c r="S181" s="87">
        <v>0</v>
      </c>
      <c r="T181" s="87">
        <v>0</v>
      </c>
      <c r="U181" s="82" t="s">
        <v>870</v>
      </c>
      <c r="V181" s="91"/>
      <c r="W181" s="96">
        <f t="shared" si="17"/>
        <v>0</v>
      </c>
      <c r="X181" s="91" t="s">
        <v>866</v>
      </c>
      <c r="Y181" s="91"/>
      <c r="Z181" s="91"/>
    </row>
    <row r="182" spans="1:26" ht="43" customHeight="1" x14ac:dyDescent="0.35">
      <c r="A182" s="81" t="s">
        <v>337</v>
      </c>
      <c r="B182" s="82" t="s">
        <v>753</v>
      </c>
      <c r="C182" s="82" t="s">
        <v>867</v>
      </c>
      <c r="D182" s="83">
        <v>48101505</v>
      </c>
      <c r="E182" s="82" t="s">
        <v>879</v>
      </c>
      <c r="F182" s="82" t="s">
        <v>891</v>
      </c>
      <c r="G182" s="83" t="s">
        <v>45</v>
      </c>
      <c r="H182" s="83" t="s">
        <v>46</v>
      </c>
      <c r="I182" s="140">
        <v>12</v>
      </c>
      <c r="J182" s="140" t="s">
        <v>350</v>
      </c>
      <c r="K182" s="87">
        <v>36590662.642857142</v>
      </c>
      <c r="L182" s="86">
        <v>0.19</v>
      </c>
      <c r="M182" s="87">
        <f t="shared" si="20"/>
        <v>6952225.9021428572</v>
      </c>
      <c r="N182" s="87">
        <f t="shared" si="21"/>
        <v>43542888.545000002</v>
      </c>
      <c r="O182" s="82" t="s">
        <v>343</v>
      </c>
      <c r="P182" s="82" t="s">
        <v>344</v>
      </c>
      <c r="Q182" s="87">
        <v>36590662.642857142</v>
      </c>
      <c r="R182" s="87">
        <v>0</v>
      </c>
      <c r="S182" s="87">
        <v>0</v>
      </c>
      <c r="T182" s="87">
        <v>0</v>
      </c>
      <c r="U182" s="82" t="s">
        <v>870</v>
      </c>
      <c r="V182" s="91" t="s">
        <v>892</v>
      </c>
      <c r="W182" s="96">
        <f t="shared" si="17"/>
        <v>30748456.002400961</v>
      </c>
      <c r="X182" s="104" t="s">
        <v>861</v>
      </c>
      <c r="Y182" s="104" t="s">
        <v>861</v>
      </c>
      <c r="Z182" s="104" t="s">
        <v>861</v>
      </c>
    </row>
    <row r="183" spans="1:26" ht="43" customHeight="1" x14ac:dyDescent="0.35">
      <c r="A183" s="81" t="s">
        <v>337</v>
      </c>
      <c r="B183" s="82" t="s">
        <v>753</v>
      </c>
      <c r="C183" s="82" t="s">
        <v>867</v>
      </c>
      <c r="D183" s="83">
        <v>55101506</v>
      </c>
      <c r="E183" s="82" t="s">
        <v>893</v>
      </c>
      <c r="F183" s="82" t="s">
        <v>894</v>
      </c>
      <c r="G183" s="83" t="s">
        <v>42</v>
      </c>
      <c r="H183" s="83" t="s">
        <v>42</v>
      </c>
      <c r="I183" s="140">
        <v>12</v>
      </c>
      <c r="J183" s="140" t="s">
        <v>350</v>
      </c>
      <c r="K183" s="128">
        <v>2260346</v>
      </c>
      <c r="L183" s="86">
        <v>0.19</v>
      </c>
      <c r="M183" s="87">
        <f t="shared" si="20"/>
        <v>429465.74</v>
      </c>
      <c r="N183" s="87">
        <f t="shared" si="21"/>
        <v>2689811.74</v>
      </c>
      <c r="O183" s="82" t="s">
        <v>343</v>
      </c>
      <c r="P183" s="82" t="s">
        <v>344</v>
      </c>
      <c r="Q183" s="128">
        <v>2260346</v>
      </c>
      <c r="R183" s="87">
        <v>0</v>
      </c>
      <c r="S183" s="87">
        <v>0</v>
      </c>
      <c r="T183" s="87">
        <v>0</v>
      </c>
      <c r="U183" s="82" t="s">
        <v>870</v>
      </c>
      <c r="V183" s="91"/>
      <c r="W183" s="96">
        <f t="shared" si="17"/>
        <v>1899450.4201680673</v>
      </c>
      <c r="X183" s="104" t="s">
        <v>373</v>
      </c>
      <c r="Y183" s="104" t="s">
        <v>373</v>
      </c>
      <c r="Z183" s="104" t="s">
        <v>895</v>
      </c>
    </row>
    <row r="184" spans="1:26" ht="43" customHeight="1" x14ac:dyDescent="0.35">
      <c r="A184" s="81" t="s">
        <v>337</v>
      </c>
      <c r="B184" s="82" t="s">
        <v>753</v>
      </c>
      <c r="C184" s="82" t="s">
        <v>856</v>
      </c>
      <c r="D184" s="83">
        <v>84131501</v>
      </c>
      <c r="E184" s="82" t="s">
        <v>896</v>
      </c>
      <c r="F184" s="82" t="s">
        <v>897</v>
      </c>
      <c r="G184" s="83" t="s">
        <v>50</v>
      </c>
      <c r="H184" s="83" t="s">
        <v>51</v>
      </c>
      <c r="I184" s="140">
        <v>12</v>
      </c>
      <c r="J184" s="140" t="s">
        <v>403</v>
      </c>
      <c r="K184" s="87">
        <f>1769988032*1.11</f>
        <v>1964686715.5200002</v>
      </c>
      <c r="L184" s="86">
        <v>0.19</v>
      </c>
      <c r="M184" s="87">
        <f t="shared" si="20"/>
        <v>373290475.94880003</v>
      </c>
      <c r="N184" s="87">
        <f t="shared" si="21"/>
        <v>2337977191.4688001</v>
      </c>
      <c r="O184" s="82" t="s">
        <v>343</v>
      </c>
      <c r="P184" s="82" t="s">
        <v>344</v>
      </c>
      <c r="Q184" s="87">
        <v>2337977191</v>
      </c>
      <c r="R184" s="87"/>
      <c r="S184" s="87">
        <v>0</v>
      </c>
      <c r="T184" s="87">
        <v>0</v>
      </c>
      <c r="U184" s="82" t="s">
        <v>870</v>
      </c>
      <c r="V184" s="91" t="s">
        <v>874</v>
      </c>
      <c r="W184" s="96">
        <f t="shared" si="17"/>
        <v>1964686715.1260505</v>
      </c>
      <c r="X184" s="104" t="s">
        <v>783</v>
      </c>
      <c r="Y184" s="104" t="s">
        <v>784</v>
      </c>
      <c r="Z184" s="91"/>
    </row>
    <row r="185" spans="1:26" ht="43" customHeight="1" x14ac:dyDescent="0.35">
      <c r="A185" s="81" t="s">
        <v>337</v>
      </c>
      <c r="B185" s="82" t="s">
        <v>753</v>
      </c>
      <c r="C185" s="82" t="s">
        <v>856</v>
      </c>
      <c r="D185" s="83">
        <v>72154028</v>
      </c>
      <c r="E185" s="142" t="s">
        <v>898</v>
      </c>
      <c r="F185" s="82" t="s">
        <v>899</v>
      </c>
      <c r="G185" s="83" t="s">
        <v>50</v>
      </c>
      <c r="H185" s="83" t="s">
        <v>51</v>
      </c>
      <c r="I185" s="140">
        <v>12</v>
      </c>
      <c r="J185" s="140" t="s">
        <v>350</v>
      </c>
      <c r="K185" s="87">
        <v>47688264.000000007</v>
      </c>
      <c r="L185" s="86">
        <v>0.19</v>
      </c>
      <c r="M185" s="87">
        <f t="shared" si="20"/>
        <v>9060770.160000002</v>
      </c>
      <c r="N185" s="87">
        <f t="shared" si="21"/>
        <v>56749034.160000011</v>
      </c>
      <c r="O185" s="82" t="s">
        <v>343</v>
      </c>
      <c r="P185" s="82" t="s">
        <v>344</v>
      </c>
      <c r="Q185" s="87">
        <v>0</v>
      </c>
      <c r="R185" s="87">
        <v>56749034</v>
      </c>
      <c r="S185" s="87">
        <v>0</v>
      </c>
      <c r="T185" s="87">
        <v>0</v>
      </c>
      <c r="U185" s="82" t="s">
        <v>870</v>
      </c>
      <c r="V185" s="91" t="s">
        <v>900</v>
      </c>
      <c r="W185" s="96">
        <f t="shared" si="17"/>
        <v>0</v>
      </c>
      <c r="X185" s="104"/>
      <c r="Y185" s="104"/>
      <c r="Z185" s="104"/>
    </row>
    <row r="186" spans="1:26" ht="43" customHeight="1" x14ac:dyDescent="0.35">
      <c r="A186" s="81" t="s">
        <v>337</v>
      </c>
      <c r="B186" s="82" t="s">
        <v>753</v>
      </c>
      <c r="C186" s="82" t="s">
        <v>856</v>
      </c>
      <c r="D186" s="141" t="s">
        <v>901</v>
      </c>
      <c r="E186" s="142" t="s">
        <v>902</v>
      </c>
      <c r="F186" s="82" t="s">
        <v>903</v>
      </c>
      <c r="G186" s="83" t="s">
        <v>49</v>
      </c>
      <c r="H186" s="83" t="s">
        <v>50</v>
      </c>
      <c r="I186" s="140">
        <v>36</v>
      </c>
      <c r="J186" s="140" t="s">
        <v>350</v>
      </c>
      <c r="K186" s="87">
        <v>45633405</v>
      </c>
      <c r="L186" s="86">
        <v>0.19</v>
      </c>
      <c r="M186" s="87">
        <f t="shared" si="20"/>
        <v>8670346.9499999993</v>
      </c>
      <c r="N186" s="87">
        <f t="shared" si="21"/>
        <v>54303751.950000003</v>
      </c>
      <c r="O186" s="82" t="s">
        <v>358</v>
      </c>
      <c r="P186" s="82" t="s">
        <v>359</v>
      </c>
      <c r="Q186" s="87">
        <v>41896119</v>
      </c>
      <c r="R186" s="87">
        <v>16781917.879999999</v>
      </c>
      <c r="S186" s="87">
        <v>0</v>
      </c>
      <c r="T186" s="87">
        <v>0</v>
      </c>
      <c r="U186" s="82" t="s">
        <v>870</v>
      </c>
      <c r="V186" s="91" t="s">
        <v>904</v>
      </c>
      <c r="W186" s="96">
        <f t="shared" si="17"/>
        <v>35206822.689075634</v>
      </c>
      <c r="X186" s="104" t="s">
        <v>882</v>
      </c>
      <c r="Y186" s="104" t="s">
        <v>883</v>
      </c>
      <c r="Z186" s="104" t="s">
        <v>883</v>
      </c>
    </row>
    <row r="187" spans="1:26" ht="43" customHeight="1" x14ac:dyDescent="0.35">
      <c r="A187" s="81" t="s">
        <v>337</v>
      </c>
      <c r="B187" s="82" t="s">
        <v>753</v>
      </c>
      <c r="C187" s="82" t="s">
        <v>856</v>
      </c>
      <c r="D187" s="143" t="s">
        <v>905</v>
      </c>
      <c r="E187" s="107" t="s">
        <v>906</v>
      </c>
      <c r="F187" s="82" t="s">
        <v>907</v>
      </c>
      <c r="G187" s="83" t="s">
        <v>49</v>
      </c>
      <c r="H187" s="83" t="s">
        <v>50</v>
      </c>
      <c r="I187" s="140">
        <v>36</v>
      </c>
      <c r="J187" s="140" t="s">
        <v>350</v>
      </c>
      <c r="K187" s="87">
        <v>7298304</v>
      </c>
      <c r="L187" s="86">
        <v>0.19</v>
      </c>
      <c r="M187" s="87">
        <f t="shared" si="20"/>
        <v>1386677.76</v>
      </c>
      <c r="N187" s="87">
        <f t="shared" si="21"/>
        <v>8684981.7599999998</v>
      </c>
      <c r="O187" s="82" t="s">
        <v>358</v>
      </c>
      <c r="P187" s="82" t="s">
        <v>359</v>
      </c>
      <c r="Q187" s="87">
        <f>2201600*1.105</f>
        <v>2432768</v>
      </c>
      <c r="R187" s="87">
        <v>0</v>
      </c>
      <c r="S187" s="87">
        <v>0</v>
      </c>
      <c r="T187" s="87">
        <v>0</v>
      </c>
      <c r="U187" s="82" t="s">
        <v>870</v>
      </c>
      <c r="V187" s="91" t="s">
        <v>904</v>
      </c>
      <c r="W187" s="96">
        <f t="shared" si="17"/>
        <v>2044342.8571428573</v>
      </c>
      <c r="X187" s="104" t="s">
        <v>882</v>
      </c>
      <c r="Y187" s="104" t="s">
        <v>883</v>
      </c>
      <c r="Z187" s="104" t="s">
        <v>883</v>
      </c>
    </row>
    <row r="188" spans="1:26" ht="43" customHeight="1" x14ac:dyDescent="0.35">
      <c r="A188" s="81" t="s">
        <v>337</v>
      </c>
      <c r="B188" s="82" t="s">
        <v>753</v>
      </c>
      <c r="C188" s="82" t="s">
        <v>856</v>
      </c>
      <c r="D188" s="83">
        <v>55101506</v>
      </c>
      <c r="E188" s="82" t="s">
        <v>893</v>
      </c>
      <c r="F188" s="82" t="s">
        <v>908</v>
      </c>
      <c r="G188" s="83" t="s">
        <v>50</v>
      </c>
      <c r="H188" s="83" t="s">
        <v>51</v>
      </c>
      <c r="I188" s="140">
        <v>24</v>
      </c>
      <c r="J188" s="140" t="s">
        <v>350</v>
      </c>
      <c r="K188" s="87">
        <v>36714494.093550004</v>
      </c>
      <c r="L188" s="86">
        <v>0.19</v>
      </c>
      <c r="M188" s="87">
        <f t="shared" si="20"/>
        <v>6975753.8777745012</v>
      </c>
      <c r="N188" s="87">
        <f t="shared" si="21"/>
        <v>43690247.971324503</v>
      </c>
      <c r="O188" s="82" t="s">
        <v>343</v>
      </c>
      <c r="P188" s="82" t="s">
        <v>344</v>
      </c>
      <c r="Q188" s="87">
        <v>0</v>
      </c>
      <c r="R188" s="87">
        <f>+N188</f>
        <v>43690247.971324503</v>
      </c>
      <c r="S188" s="87">
        <v>0</v>
      </c>
      <c r="T188" s="87">
        <v>0</v>
      </c>
      <c r="U188" s="82" t="s">
        <v>870</v>
      </c>
      <c r="V188" s="91" t="s">
        <v>909</v>
      </c>
      <c r="W188" s="96">
        <f t="shared" si="17"/>
        <v>0</v>
      </c>
      <c r="X188" s="91" t="s">
        <v>866</v>
      </c>
      <c r="Y188" s="91"/>
      <c r="Z188" s="91"/>
    </row>
    <row r="189" spans="1:26" ht="43" customHeight="1" x14ac:dyDescent="0.35">
      <c r="A189" s="81" t="s">
        <v>337</v>
      </c>
      <c r="B189" s="82" t="s">
        <v>753</v>
      </c>
      <c r="C189" s="82" t="s">
        <v>856</v>
      </c>
      <c r="D189" s="143" t="s">
        <v>910</v>
      </c>
      <c r="E189" s="107" t="s">
        <v>911</v>
      </c>
      <c r="F189" s="91" t="s">
        <v>912</v>
      </c>
      <c r="G189" s="83" t="s">
        <v>42</v>
      </c>
      <c r="H189" s="83" t="s">
        <v>43</v>
      </c>
      <c r="I189" s="140">
        <v>12</v>
      </c>
      <c r="J189" s="140" t="s">
        <v>350</v>
      </c>
      <c r="K189" s="87">
        <v>16833263</v>
      </c>
      <c r="L189" s="86">
        <v>0.19</v>
      </c>
      <c r="M189" s="87">
        <f t="shared" si="20"/>
        <v>3198319.97</v>
      </c>
      <c r="N189" s="87">
        <f t="shared" si="21"/>
        <v>20031582.969999999</v>
      </c>
      <c r="O189" s="82" t="s">
        <v>358</v>
      </c>
      <c r="P189" s="82" t="s">
        <v>359</v>
      </c>
      <c r="Q189" s="87">
        <v>14458500</v>
      </c>
      <c r="R189" s="87">
        <v>5573094.5454545459</v>
      </c>
      <c r="S189" s="87">
        <v>0</v>
      </c>
      <c r="T189" s="87">
        <v>0</v>
      </c>
      <c r="U189" s="82" t="s">
        <v>870</v>
      </c>
      <c r="V189" s="91" t="s">
        <v>913</v>
      </c>
      <c r="W189" s="96">
        <f t="shared" si="17"/>
        <v>12150000</v>
      </c>
      <c r="X189" s="104" t="s">
        <v>882</v>
      </c>
      <c r="Y189" s="104" t="s">
        <v>883</v>
      </c>
      <c r="Z189" s="104" t="s">
        <v>883</v>
      </c>
    </row>
    <row r="190" spans="1:26" ht="43" customHeight="1" x14ac:dyDescent="0.35">
      <c r="A190" s="81" t="s">
        <v>337</v>
      </c>
      <c r="B190" s="82" t="s">
        <v>753</v>
      </c>
      <c r="C190" s="82" t="s">
        <v>856</v>
      </c>
      <c r="D190" s="143" t="s">
        <v>914</v>
      </c>
      <c r="E190" s="107" t="s">
        <v>915</v>
      </c>
      <c r="F190" s="91" t="s">
        <v>916</v>
      </c>
      <c r="G190" s="83" t="s">
        <v>42</v>
      </c>
      <c r="H190" s="83" t="s">
        <v>43</v>
      </c>
      <c r="I190" s="140">
        <v>24</v>
      </c>
      <c r="J190" s="140" t="s">
        <v>403</v>
      </c>
      <c r="K190" s="87">
        <v>3300677165.1399999</v>
      </c>
      <c r="L190" s="86">
        <v>0.19</v>
      </c>
      <c r="M190" s="87">
        <f t="shared" si="20"/>
        <v>627128661.37660003</v>
      </c>
      <c r="N190" s="87">
        <f t="shared" si="21"/>
        <v>3927805826.5165997</v>
      </c>
      <c r="O190" s="82" t="s">
        <v>358</v>
      </c>
      <c r="P190" s="82" t="s">
        <v>359</v>
      </c>
      <c r="Q190" s="87">
        <v>1049608198.24</v>
      </c>
      <c r="R190" s="87">
        <v>1736375191.1400001</v>
      </c>
      <c r="S190" s="87">
        <v>1141822437.1365998</v>
      </c>
      <c r="T190" s="87">
        <v>0</v>
      </c>
      <c r="U190" s="82" t="s">
        <v>870</v>
      </c>
      <c r="V190" s="91" t="s">
        <v>917</v>
      </c>
      <c r="W190" s="96">
        <f t="shared" si="17"/>
        <v>882023696</v>
      </c>
      <c r="X190" s="91" t="s">
        <v>918</v>
      </c>
      <c r="Y190" s="91" t="s">
        <v>919</v>
      </c>
      <c r="Z190" s="91" t="s">
        <v>919</v>
      </c>
    </row>
    <row r="191" spans="1:26" ht="43" customHeight="1" x14ac:dyDescent="0.35">
      <c r="A191" s="81" t="s">
        <v>337</v>
      </c>
      <c r="B191" s="82" t="s">
        <v>753</v>
      </c>
      <c r="C191" s="82" t="s">
        <v>856</v>
      </c>
      <c r="D191" s="139">
        <v>92101501</v>
      </c>
      <c r="E191" s="107" t="s">
        <v>920</v>
      </c>
      <c r="F191" s="91" t="s">
        <v>921</v>
      </c>
      <c r="G191" s="83" t="s">
        <v>51</v>
      </c>
      <c r="H191" s="83" t="s">
        <v>51</v>
      </c>
      <c r="I191" s="140">
        <v>24</v>
      </c>
      <c r="J191" s="140" t="s">
        <v>403</v>
      </c>
      <c r="K191" s="87">
        <v>4432295627.6920214</v>
      </c>
      <c r="L191" s="86">
        <v>0.19</v>
      </c>
      <c r="M191" s="87">
        <f t="shared" si="20"/>
        <v>842136169.26148403</v>
      </c>
      <c r="N191" s="87">
        <f t="shared" si="21"/>
        <v>5274431796.9535055</v>
      </c>
      <c r="O191" s="82" t="s">
        <v>358</v>
      </c>
      <c r="P191" s="82" t="s">
        <v>359</v>
      </c>
      <c r="Q191" s="87">
        <v>1853702610.8579998</v>
      </c>
      <c r="R191" s="87">
        <v>1877521762.5562208</v>
      </c>
      <c r="S191" s="87">
        <v>1543207423.5392849</v>
      </c>
      <c r="T191" s="87">
        <v>627571018.90597594</v>
      </c>
      <c r="U191" s="82" t="s">
        <v>870</v>
      </c>
      <c r="V191" s="91" t="s">
        <v>922</v>
      </c>
      <c r="W191" s="96">
        <f t="shared" si="17"/>
        <v>1557733286.4352939</v>
      </c>
      <c r="X191" s="104" t="s">
        <v>923</v>
      </c>
      <c r="Y191" s="104" t="s">
        <v>923</v>
      </c>
      <c r="Z191" s="104" t="s">
        <v>924</v>
      </c>
    </row>
    <row r="192" spans="1:26" ht="43" customHeight="1" x14ac:dyDescent="0.35">
      <c r="A192" s="81" t="s">
        <v>337</v>
      </c>
      <c r="B192" s="82" t="s">
        <v>753</v>
      </c>
      <c r="C192" s="82" t="s">
        <v>867</v>
      </c>
      <c r="D192" s="83">
        <v>80131500</v>
      </c>
      <c r="E192" s="82" t="s">
        <v>925</v>
      </c>
      <c r="F192" s="132" t="s">
        <v>926</v>
      </c>
      <c r="G192" s="83" t="s">
        <v>43</v>
      </c>
      <c r="H192" s="83" t="s">
        <v>45</v>
      </c>
      <c r="I192" s="140">
        <v>12</v>
      </c>
      <c r="J192" s="140" t="s">
        <v>350</v>
      </c>
      <c r="K192" s="87">
        <v>39168876.364799999</v>
      </c>
      <c r="L192" s="86">
        <v>0.19</v>
      </c>
      <c r="M192" s="87">
        <f t="shared" si="20"/>
        <v>7442086.5093120001</v>
      </c>
      <c r="N192" s="87">
        <f t="shared" si="21"/>
        <v>46610962.874111995</v>
      </c>
      <c r="O192" s="82" t="s">
        <v>343</v>
      </c>
      <c r="P192" s="82" t="s">
        <v>344</v>
      </c>
      <c r="Q192" s="87">
        <v>46610963</v>
      </c>
      <c r="R192" s="87">
        <v>0</v>
      </c>
      <c r="S192" s="87">
        <v>0</v>
      </c>
      <c r="T192" s="87">
        <v>0</v>
      </c>
      <c r="U192" s="82" t="s">
        <v>927</v>
      </c>
      <c r="V192" s="91"/>
      <c r="W192" s="96">
        <f t="shared" si="17"/>
        <v>39168876.470588237</v>
      </c>
      <c r="X192" s="104" t="s">
        <v>928</v>
      </c>
      <c r="Y192" s="104" t="s">
        <v>929</v>
      </c>
      <c r="Z192" s="104" t="s">
        <v>930</v>
      </c>
    </row>
    <row r="193" spans="1:26" ht="43" customHeight="1" x14ac:dyDescent="0.35">
      <c r="A193" s="81" t="s">
        <v>337</v>
      </c>
      <c r="B193" s="82" t="s">
        <v>753</v>
      </c>
      <c r="C193" s="82" t="s">
        <v>867</v>
      </c>
      <c r="D193" s="83">
        <v>80131500</v>
      </c>
      <c r="E193" s="82" t="s">
        <v>925</v>
      </c>
      <c r="F193" s="132" t="s">
        <v>931</v>
      </c>
      <c r="G193" s="83" t="s">
        <v>47</v>
      </c>
      <c r="H193" s="83" t="s">
        <v>48</v>
      </c>
      <c r="I193" s="140">
        <v>12</v>
      </c>
      <c r="J193" s="140" t="s">
        <v>350</v>
      </c>
      <c r="K193" s="87">
        <v>30671455.651200008</v>
      </c>
      <c r="L193" s="86">
        <v>0.19</v>
      </c>
      <c r="M193" s="87">
        <f t="shared" si="20"/>
        <v>5827576.5737280017</v>
      </c>
      <c r="N193" s="87">
        <f t="shared" si="21"/>
        <v>36499032.224928007</v>
      </c>
      <c r="O193" s="82" t="s">
        <v>343</v>
      </c>
      <c r="P193" s="82" t="s">
        <v>344</v>
      </c>
      <c r="Q193" s="87">
        <v>36499032</v>
      </c>
      <c r="R193" s="87">
        <v>0</v>
      </c>
      <c r="S193" s="87">
        <v>0</v>
      </c>
      <c r="T193" s="87">
        <v>0</v>
      </c>
      <c r="U193" s="82" t="s">
        <v>927</v>
      </c>
      <c r="V193" s="91"/>
      <c r="W193" s="96">
        <f t="shared" si="17"/>
        <v>30671455.462184876</v>
      </c>
      <c r="X193" s="104" t="s">
        <v>932</v>
      </c>
      <c r="Y193" s="104" t="s">
        <v>933</v>
      </c>
      <c r="Z193" s="104" t="s">
        <v>934</v>
      </c>
    </row>
    <row r="194" spans="1:26" ht="43" customHeight="1" x14ac:dyDescent="0.35">
      <c r="A194" s="81" t="s">
        <v>337</v>
      </c>
      <c r="B194" s="82" t="s">
        <v>753</v>
      </c>
      <c r="C194" s="82" t="s">
        <v>867</v>
      </c>
      <c r="D194" s="83">
        <v>78101801</v>
      </c>
      <c r="E194" s="82" t="s">
        <v>935</v>
      </c>
      <c r="F194" s="82" t="s">
        <v>936</v>
      </c>
      <c r="G194" s="83" t="s">
        <v>49</v>
      </c>
      <c r="H194" s="83" t="s">
        <v>50</v>
      </c>
      <c r="I194" s="140">
        <v>3</v>
      </c>
      <c r="J194" s="140" t="s">
        <v>350</v>
      </c>
      <c r="K194" s="87">
        <f>9765000*1.105</f>
        <v>10790325</v>
      </c>
      <c r="L194" s="86">
        <v>0.19</v>
      </c>
      <c r="M194" s="87">
        <f t="shared" si="20"/>
        <v>2050161.75</v>
      </c>
      <c r="N194" s="87">
        <f t="shared" si="21"/>
        <v>12840486.75</v>
      </c>
      <c r="O194" s="82" t="s">
        <v>343</v>
      </c>
      <c r="P194" s="82" t="s">
        <v>344</v>
      </c>
      <c r="Q194" s="87">
        <v>12840487</v>
      </c>
      <c r="R194" s="87">
        <v>0</v>
      </c>
      <c r="S194" s="87">
        <v>0</v>
      </c>
      <c r="T194" s="87">
        <v>0</v>
      </c>
      <c r="U194" s="82" t="s">
        <v>927</v>
      </c>
      <c r="V194" s="91"/>
      <c r="W194" s="96">
        <f>+Q194/1.19</f>
        <v>10790325.210084034</v>
      </c>
      <c r="X194" s="104" t="s">
        <v>937</v>
      </c>
      <c r="Y194" s="104" t="s">
        <v>938</v>
      </c>
      <c r="Z194" s="91"/>
    </row>
    <row r="195" spans="1:26" ht="43" customHeight="1" x14ac:dyDescent="0.35">
      <c r="A195" s="81" t="s">
        <v>337</v>
      </c>
      <c r="B195" s="82" t="s">
        <v>753</v>
      </c>
      <c r="C195" s="82" t="s">
        <v>867</v>
      </c>
      <c r="D195" s="83">
        <v>43232804</v>
      </c>
      <c r="E195" s="142" t="s">
        <v>939</v>
      </c>
      <c r="F195" s="82" t="s">
        <v>940</v>
      </c>
      <c r="G195" s="83" t="s">
        <v>48</v>
      </c>
      <c r="H195" s="83" t="s">
        <v>49</v>
      </c>
      <c r="I195" s="140">
        <v>24</v>
      </c>
      <c r="J195" s="140" t="s">
        <v>350</v>
      </c>
      <c r="K195" s="87">
        <v>122578724.95003152</v>
      </c>
      <c r="L195" s="86">
        <v>0.19</v>
      </c>
      <c r="M195" s="87">
        <f t="shared" si="20"/>
        <v>23289957.74050599</v>
      </c>
      <c r="N195" s="87">
        <f t="shared" si="21"/>
        <v>145868682.69053751</v>
      </c>
      <c r="O195" s="82" t="s">
        <v>358</v>
      </c>
      <c r="P195" s="82" t="s">
        <v>359</v>
      </c>
      <c r="Q195" s="87">
        <v>98466910</v>
      </c>
      <c r="R195" s="87">
        <v>26334318.049468748</v>
      </c>
      <c r="S195" s="87">
        <v>21067454.439575002</v>
      </c>
      <c r="T195" s="87">
        <v>0</v>
      </c>
      <c r="U195" s="82" t="s">
        <v>927</v>
      </c>
      <c r="V195" s="91"/>
      <c r="W195" s="96">
        <f t="shared" si="17"/>
        <v>82745302.521008402</v>
      </c>
      <c r="X195" s="104" t="s">
        <v>364</v>
      </c>
      <c r="Y195" s="104" t="s">
        <v>365</v>
      </c>
      <c r="Z195" s="104" t="s">
        <v>941</v>
      </c>
    </row>
    <row r="196" spans="1:26" ht="43" customHeight="1" x14ac:dyDescent="0.35">
      <c r="A196" s="81" t="s">
        <v>337</v>
      </c>
      <c r="B196" s="82" t="s">
        <v>753</v>
      </c>
      <c r="C196" s="82" t="s">
        <v>867</v>
      </c>
      <c r="D196" s="83">
        <v>80131802</v>
      </c>
      <c r="E196" s="82" t="s">
        <v>942</v>
      </c>
      <c r="F196" s="82" t="s">
        <v>943</v>
      </c>
      <c r="G196" s="83" t="s">
        <v>44</v>
      </c>
      <c r="H196" s="83" t="s">
        <v>45</v>
      </c>
      <c r="I196" s="140">
        <v>36</v>
      </c>
      <c r="J196" s="140" t="s">
        <v>342</v>
      </c>
      <c r="K196" s="87">
        <v>159081882.40740716</v>
      </c>
      <c r="L196" s="86">
        <v>0.19</v>
      </c>
      <c r="M196" s="87">
        <f t="shared" si="20"/>
        <v>30225557.657407362</v>
      </c>
      <c r="N196" s="87">
        <f>+K196+M196</f>
        <v>189307440.06481454</v>
      </c>
      <c r="O196" s="82" t="s">
        <v>358</v>
      </c>
      <c r="P196" s="82" t="s">
        <v>359</v>
      </c>
      <c r="Q196" s="87">
        <v>62874018.871950008</v>
      </c>
      <c r="R196" s="87">
        <v>69790160.947864518</v>
      </c>
      <c r="S196" s="87">
        <v>69790160.947864518</v>
      </c>
      <c r="T196" s="87">
        <v>0</v>
      </c>
      <c r="U196" s="82" t="s">
        <v>927</v>
      </c>
      <c r="V196" s="91"/>
      <c r="W196" s="96">
        <f t="shared" si="17"/>
        <v>52835309.976428583</v>
      </c>
      <c r="X196" s="104" t="s">
        <v>347</v>
      </c>
      <c r="Y196" s="104" t="s">
        <v>347</v>
      </c>
      <c r="Z196" s="104" t="s">
        <v>944</v>
      </c>
    </row>
    <row r="197" spans="1:26" ht="43" customHeight="1" x14ac:dyDescent="0.35">
      <c r="A197" s="81" t="s">
        <v>337</v>
      </c>
      <c r="B197" s="82" t="s">
        <v>753</v>
      </c>
      <c r="C197" s="82" t="s">
        <v>856</v>
      </c>
      <c r="D197" s="83">
        <v>93151507</v>
      </c>
      <c r="E197" s="142" t="s">
        <v>945</v>
      </c>
      <c r="F197" s="82" t="s">
        <v>946</v>
      </c>
      <c r="G197" s="83" t="s">
        <v>47</v>
      </c>
      <c r="H197" s="83" t="s">
        <v>48</v>
      </c>
      <c r="I197" s="140">
        <v>12</v>
      </c>
      <c r="J197" s="140" t="s">
        <v>350</v>
      </c>
      <c r="K197" s="87">
        <v>21184594.199999999</v>
      </c>
      <c r="L197" s="86">
        <v>0.19</v>
      </c>
      <c r="M197" s="87">
        <f t="shared" si="20"/>
        <v>4025072.898</v>
      </c>
      <c r="N197" s="87">
        <f t="shared" si="21"/>
        <v>25209667.097999997</v>
      </c>
      <c r="O197" s="82" t="s">
        <v>358</v>
      </c>
      <c r="P197" s="82" t="s">
        <v>359</v>
      </c>
      <c r="Q197" s="87">
        <v>25209667</v>
      </c>
      <c r="R197" s="87"/>
      <c r="S197" s="87"/>
      <c r="T197" s="87">
        <v>0</v>
      </c>
      <c r="U197" s="82" t="s">
        <v>927</v>
      </c>
      <c r="V197" s="91" t="s">
        <v>947</v>
      </c>
      <c r="W197" s="96">
        <f t="shared" si="17"/>
        <v>21184594.117647059</v>
      </c>
      <c r="X197" s="104" t="s">
        <v>347</v>
      </c>
      <c r="Y197" s="104" t="s">
        <v>347</v>
      </c>
      <c r="Z197" s="104" t="s">
        <v>944</v>
      </c>
    </row>
    <row r="198" spans="1:26" ht="43" customHeight="1" x14ac:dyDescent="0.35">
      <c r="A198" s="81" t="s">
        <v>337</v>
      </c>
      <c r="B198" s="82" t="s">
        <v>753</v>
      </c>
      <c r="C198" s="82" t="s">
        <v>856</v>
      </c>
      <c r="D198" s="83">
        <v>78102206</v>
      </c>
      <c r="E198" s="82" t="s">
        <v>948</v>
      </c>
      <c r="F198" s="91" t="s">
        <v>949</v>
      </c>
      <c r="G198" s="83" t="s">
        <v>42</v>
      </c>
      <c r="H198" s="83" t="s">
        <v>42</v>
      </c>
      <c r="I198" s="140">
        <v>24</v>
      </c>
      <c r="J198" s="140" t="s">
        <v>403</v>
      </c>
      <c r="K198" s="87">
        <v>1387063449</v>
      </c>
      <c r="L198" s="86">
        <v>0</v>
      </c>
      <c r="M198" s="87">
        <v>0</v>
      </c>
      <c r="N198" s="87">
        <v>1387063449</v>
      </c>
      <c r="O198" s="82" t="s">
        <v>358</v>
      </c>
      <c r="P198" s="82" t="s">
        <v>359</v>
      </c>
      <c r="Q198" s="87">
        <v>599315057</v>
      </c>
      <c r="R198" s="87">
        <v>787748392.29033589</v>
      </c>
      <c r="S198" s="87">
        <v>0</v>
      </c>
      <c r="T198" s="87">
        <v>0</v>
      </c>
      <c r="U198" s="82" t="s">
        <v>950</v>
      </c>
      <c r="V198" s="91" t="s">
        <v>951</v>
      </c>
      <c r="W198" s="96">
        <f t="shared" si="17"/>
        <v>503626098.31932777</v>
      </c>
      <c r="X198" s="104" t="s">
        <v>937</v>
      </c>
      <c r="Y198" s="104" t="s">
        <v>952</v>
      </c>
      <c r="Z198" s="104" t="s">
        <v>953</v>
      </c>
    </row>
    <row r="199" spans="1:26" ht="43" customHeight="1" x14ac:dyDescent="0.35">
      <c r="A199" s="81" t="s">
        <v>337</v>
      </c>
      <c r="B199" s="82" t="s">
        <v>753</v>
      </c>
      <c r="C199" s="82" t="s">
        <v>856</v>
      </c>
      <c r="D199" s="83">
        <v>25101509</v>
      </c>
      <c r="E199" s="142" t="s">
        <v>954</v>
      </c>
      <c r="F199" s="82" t="s">
        <v>955</v>
      </c>
      <c r="G199" s="83" t="s">
        <v>43</v>
      </c>
      <c r="H199" s="83" t="s">
        <v>44</v>
      </c>
      <c r="I199" s="140">
        <v>3</v>
      </c>
      <c r="J199" s="140" t="s">
        <v>342</v>
      </c>
      <c r="K199" s="87">
        <v>240000000</v>
      </c>
      <c r="L199" s="86">
        <v>0.19</v>
      </c>
      <c r="M199" s="87">
        <f t="shared" ref="M199:M232" si="22">+K199*L199</f>
        <v>45600000</v>
      </c>
      <c r="N199" s="87">
        <f t="shared" ref="N199:N232" si="23">+K199+M199</f>
        <v>285600000</v>
      </c>
      <c r="O199" s="82" t="s">
        <v>343</v>
      </c>
      <c r="P199" s="82" t="s">
        <v>344</v>
      </c>
      <c r="Q199" s="87">
        <v>285600000</v>
      </c>
      <c r="R199" s="87">
        <v>0</v>
      </c>
      <c r="S199" s="87">
        <v>0</v>
      </c>
      <c r="T199" s="87">
        <v>0</v>
      </c>
      <c r="U199" s="82" t="s">
        <v>950</v>
      </c>
      <c r="V199" s="91"/>
      <c r="W199" s="96">
        <f t="shared" si="17"/>
        <v>240000000</v>
      </c>
      <c r="X199" s="104" t="s">
        <v>956</v>
      </c>
      <c r="Y199" s="104" t="s">
        <v>957</v>
      </c>
      <c r="Z199" s="104" t="s">
        <v>958</v>
      </c>
    </row>
    <row r="200" spans="1:26" ht="43" customHeight="1" x14ac:dyDescent="0.35">
      <c r="A200" s="81" t="s">
        <v>337</v>
      </c>
      <c r="B200" s="82" t="s">
        <v>753</v>
      </c>
      <c r="C200" s="82" t="s">
        <v>856</v>
      </c>
      <c r="D200" s="141" t="s">
        <v>959</v>
      </c>
      <c r="E200" s="142" t="s">
        <v>960</v>
      </c>
      <c r="F200" s="82" t="s">
        <v>961</v>
      </c>
      <c r="G200" s="83" t="s">
        <v>44</v>
      </c>
      <c r="H200" s="83" t="s">
        <v>45</v>
      </c>
      <c r="I200" s="140">
        <v>7</v>
      </c>
      <c r="J200" s="140" t="s">
        <v>342</v>
      </c>
      <c r="K200" s="87">
        <v>70897607</v>
      </c>
      <c r="L200" s="86">
        <v>0.19</v>
      </c>
      <c r="M200" s="87">
        <f t="shared" si="22"/>
        <v>13470545.33</v>
      </c>
      <c r="N200" s="87">
        <f t="shared" si="23"/>
        <v>84368152.329999998</v>
      </c>
      <c r="O200" s="82" t="s">
        <v>343</v>
      </c>
      <c r="P200" s="82" t="s">
        <v>344</v>
      </c>
      <c r="Q200" s="87">
        <v>84368152.329999998</v>
      </c>
      <c r="R200" s="87">
        <v>0</v>
      </c>
      <c r="S200" s="87">
        <v>0</v>
      </c>
      <c r="T200" s="87">
        <v>0</v>
      </c>
      <c r="U200" s="82" t="s">
        <v>950</v>
      </c>
      <c r="V200" s="91" t="s">
        <v>962</v>
      </c>
      <c r="W200" s="96">
        <f t="shared" si="17"/>
        <v>70897607</v>
      </c>
      <c r="X200" s="104" t="s">
        <v>956</v>
      </c>
      <c r="Y200" s="104" t="s">
        <v>963</v>
      </c>
      <c r="Z200" s="104" t="s">
        <v>964</v>
      </c>
    </row>
    <row r="201" spans="1:26" ht="43" customHeight="1" x14ac:dyDescent="0.35">
      <c r="A201" s="81" t="s">
        <v>337</v>
      </c>
      <c r="B201" s="82" t="s">
        <v>753</v>
      </c>
      <c r="C201" s="82" t="s">
        <v>856</v>
      </c>
      <c r="D201" s="83">
        <v>81161600</v>
      </c>
      <c r="E201" s="142" t="s">
        <v>965</v>
      </c>
      <c r="F201" s="82" t="s">
        <v>966</v>
      </c>
      <c r="G201" s="83" t="s">
        <v>43</v>
      </c>
      <c r="H201" s="83" t="s">
        <v>43</v>
      </c>
      <c r="I201" s="140">
        <v>8</v>
      </c>
      <c r="J201" s="140" t="s">
        <v>350</v>
      </c>
      <c r="K201" s="87">
        <v>90560000</v>
      </c>
      <c r="L201" s="86">
        <v>0.19</v>
      </c>
      <c r="M201" s="87">
        <f t="shared" si="22"/>
        <v>17206400</v>
      </c>
      <c r="N201" s="87">
        <f t="shared" si="23"/>
        <v>107766400</v>
      </c>
      <c r="O201" s="82" t="s">
        <v>343</v>
      </c>
      <c r="P201" s="82" t="s">
        <v>344</v>
      </c>
      <c r="Q201" s="87">
        <v>107766400</v>
      </c>
      <c r="R201" s="87">
        <v>0</v>
      </c>
      <c r="S201" s="87">
        <v>0</v>
      </c>
      <c r="T201" s="87">
        <v>0</v>
      </c>
      <c r="U201" s="82" t="s">
        <v>967</v>
      </c>
      <c r="V201" s="91" t="s">
        <v>968</v>
      </c>
      <c r="W201" s="96">
        <f t="shared" si="17"/>
        <v>90560000</v>
      </c>
      <c r="X201" s="104" t="s">
        <v>969</v>
      </c>
      <c r="Y201" s="104" t="s">
        <v>969</v>
      </c>
      <c r="Z201" s="104" t="s">
        <v>970</v>
      </c>
    </row>
    <row r="202" spans="1:26" ht="43" customHeight="1" x14ac:dyDescent="0.35">
      <c r="A202" s="81" t="s">
        <v>337</v>
      </c>
      <c r="B202" s="82" t="s">
        <v>753</v>
      </c>
      <c r="C202" s="82" t="s">
        <v>856</v>
      </c>
      <c r="D202" s="141" t="s">
        <v>971</v>
      </c>
      <c r="E202" s="142" t="s">
        <v>972</v>
      </c>
      <c r="F202" s="82" t="s">
        <v>973</v>
      </c>
      <c r="G202" s="83" t="s">
        <v>42</v>
      </c>
      <c r="H202" s="83" t="s">
        <v>43</v>
      </c>
      <c r="I202" s="140">
        <v>3</v>
      </c>
      <c r="J202" s="140" t="s">
        <v>350</v>
      </c>
      <c r="K202" s="87">
        <v>40000000</v>
      </c>
      <c r="L202" s="86">
        <v>0.19</v>
      </c>
      <c r="M202" s="87">
        <f t="shared" si="22"/>
        <v>7600000</v>
      </c>
      <c r="N202" s="87">
        <f t="shared" si="23"/>
        <v>47600000</v>
      </c>
      <c r="O202" s="82" t="s">
        <v>343</v>
      </c>
      <c r="P202" s="82" t="s">
        <v>344</v>
      </c>
      <c r="Q202" s="87">
        <v>47600000</v>
      </c>
      <c r="R202" s="87">
        <v>0</v>
      </c>
      <c r="S202" s="87">
        <v>0</v>
      </c>
      <c r="T202" s="87">
        <v>0</v>
      </c>
      <c r="U202" s="82" t="s">
        <v>974</v>
      </c>
      <c r="V202" s="91" t="s">
        <v>975</v>
      </c>
      <c r="W202" s="96">
        <f t="shared" si="17"/>
        <v>40000000</v>
      </c>
      <c r="X202" s="104" t="s">
        <v>861</v>
      </c>
      <c r="Y202" s="104" t="s">
        <v>861</v>
      </c>
      <c r="Z202" s="104" t="s">
        <v>861</v>
      </c>
    </row>
    <row r="203" spans="1:26" ht="43" customHeight="1" x14ac:dyDescent="0.35">
      <c r="A203" s="81" t="s">
        <v>337</v>
      </c>
      <c r="B203" s="82" t="s">
        <v>753</v>
      </c>
      <c r="C203" s="82" t="s">
        <v>867</v>
      </c>
      <c r="D203" s="83">
        <v>31162800</v>
      </c>
      <c r="E203" s="142" t="s">
        <v>976</v>
      </c>
      <c r="F203" s="82" t="s">
        <v>977</v>
      </c>
      <c r="G203" s="83" t="s">
        <v>42</v>
      </c>
      <c r="H203" s="83" t="s">
        <v>43</v>
      </c>
      <c r="I203" s="140">
        <v>12</v>
      </c>
      <c r="J203" s="140" t="s">
        <v>342</v>
      </c>
      <c r="K203" s="87">
        <f>75101341*1.105</f>
        <v>82986981.804999992</v>
      </c>
      <c r="L203" s="86">
        <v>0.19</v>
      </c>
      <c r="M203" s="87">
        <f t="shared" si="22"/>
        <v>15767526.542949999</v>
      </c>
      <c r="N203" s="87">
        <f t="shared" si="23"/>
        <v>98754508.347949997</v>
      </c>
      <c r="O203" s="82" t="s">
        <v>343</v>
      </c>
      <c r="P203" s="82" t="s">
        <v>344</v>
      </c>
      <c r="Q203" s="87">
        <f>+N203</f>
        <v>98754508.347949997</v>
      </c>
      <c r="R203" s="87">
        <v>0</v>
      </c>
      <c r="S203" s="87">
        <v>0</v>
      </c>
      <c r="T203" s="87">
        <v>0</v>
      </c>
      <c r="U203" s="82" t="s">
        <v>974</v>
      </c>
      <c r="V203" s="91" t="s">
        <v>978</v>
      </c>
      <c r="W203" s="96">
        <f t="shared" si="17"/>
        <v>82986981.805000007</v>
      </c>
      <c r="X203" s="104" t="s">
        <v>861</v>
      </c>
      <c r="Y203" s="104" t="s">
        <v>861</v>
      </c>
      <c r="Z203" s="104" t="s">
        <v>979</v>
      </c>
    </row>
    <row r="204" spans="1:26" ht="43" customHeight="1" x14ac:dyDescent="0.35">
      <c r="A204" s="81" t="s">
        <v>337</v>
      </c>
      <c r="B204" s="82" t="s">
        <v>753</v>
      </c>
      <c r="C204" s="82" t="s">
        <v>856</v>
      </c>
      <c r="D204" s="83">
        <v>72153600</v>
      </c>
      <c r="E204" s="142" t="s">
        <v>980</v>
      </c>
      <c r="F204" s="82" t="s">
        <v>981</v>
      </c>
      <c r="G204" s="83" t="s">
        <v>43</v>
      </c>
      <c r="H204" s="83" t="s">
        <v>44</v>
      </c>
      <c r="I204" s="140">
        <v>12</v>
      </c>
      <c r="J204" s="140" t="s">
        <v>342</v>
      </c>
      <c r="K204" s="128">
        <f>611701230+747999248</f>
        <v>1359700478</v>
      </c>
      <c r="L204" s="86">
        <v>0.19</v>
      </c>
      <c r="M204" s="87">
        <f t="shared" si="22"/>
        <v>258343090.81999999</v>
      </c>
      <c r="N204" s="87">
        <f t="shared" si="23"/>
        <v>1618043568.8199999</v>
      </c>
      <c r="O204" s="82" t="s">
        <v>343</v>
      </c>
      <c r="P204" s="82" t="s">
        <v>344</v>
      </c>
      <c r="Q204" s="87">
        <f>+N204</f>
        <v>1618043568.8199999</v>
      </c>
      <c r="R204" s="87">
        <v>0</v>
      </c>
      <c r="S204" s="87">
        <v>0</v>
      </c>
      <c r="T204" s="87">
        <v>0</v>
      </c>
      <c r="U204" s="82" t="s">
        <v>974</v>
      </c>
      <c r="V204" s="91" t="s">
        <v>982</v>
      </c>
      <c r="W204" s="96">
        <f t="shared" si="17"/>
        <v>1359700478</v>
      </c>
      <c r="X204" s="104" t="s">
        <v>983</v>
      </c>
      <c r="Y204" s="104" t="s">
        <v>983</v>
      </c>
      <c r="Z204" s="104"/>
    </row>
    <row r="205" spans="1:26" ht="43" customHeight="1" x14ac:dyDescent="0.35">
      <c r="A205" s="81" t="s">
        <v>337</v>
      </c>
      <c r="B205" s="82" t="s">
        <v>753</v>
      </c>
      <c r="C205" s="82" t="s">
        <v>856</v>
      </c>
      <c r="D205" s="83">
        <v>72153600</v>
      </c>
      <c r="E205" s="142" t="s">
        <v>980</v>
      </c>
      <c r="F205" s="82" t="s">
        <v>984</v>
      </c>
      <c r="G205" s="83" t="s">
        <v>42</v>
      </c>
      <c r="H205" s="83" t="s">
        <v>43</v>
      </c>
      <c r="I205" s="140">
        <v>5</v>
      </c>
      <c r="J205" s="140" t="s">
        <v>403</v>
      </c>
      <c r="K205" s="128">
        <f>1097169367+195720442</f>
        <v>1292889809</v>
      </c>
      <c r="L205" s="86">
        <v>0.19</v>
      </c>
      <c r="M205" s="87">
        <f t="shared" si="22"/>
        <v>245649063.71000001</v>
      </c>
      <c r="N205" s="87">
        <f t="shared" si="23"/>
        <v>1538538872.71</v>
      </c>
      <c r="O205" s="82" t="s">
        <v>343</v>
      </c>
      <c r="P205" s="82" t="s">
        <v>344</v>
      </c>
      <c r="Q205" s="87">
        <f>+N205</f>
        <v>1538538872.71</v>
      </c>
      <c r="R205" s="87">
        <v>0</v>
      </c>
      <c r="S205" s="87">
        <v>0</v>
      </c>
      <c r="T205" s="87">
        <v>0</v>
      </c>
      <c r="U205" s="82" t="s">
        <v>974</v>
      </c>
      <c r="V205" s="91" t="s">
        <v>982</v>
      </c>
      <c r="W205" s="96">
        <f t="shared" si="17"/>
        <v>1292889809</v>
      </c>
      <c r="X205" s="104" t="s">
        <v>983</v>
      </c>
      <c r="Y205" s="104" t="s">
        <v>983</v>
      </c>
      <c r="Z205" s="91"/>
    </row>
    <row r="206" spans="1:26" ht="43" customHeight="1" x14ac:dyDescent="0.35">
      <c r="A206" s="81" t="s">
        <v>337</v>
      </c>
      <c r="B206" s="82" t="s">
        <v>753</v>
      </c>
      <c r="C206" s="82" t="s">
        <v>856</v>
      </c>
      <c r="D206" s="83">
        <v>72153600</v>
      </c>
      <c r="E206" s="142" t="s">
        <v>980</v>
      </c>
      <c r="F206" s="82" t="s">
        <v>985</v>
      </c>
      <c r="G206" s="83" t="s">
        <v>42</v>
      </c>
      <c r="H206" s="83" t="s">
        <v>43</v>
      </c>
      <c r="I206" s="140">
        <v>3</v>
      </c>
      <c r="J206" s="140" t="s">
        <v>342</v>
      </c>
      <c r="K206" s="128">
        <v>591594078</v>
      </c>
      <c r="L206" s="86">
        <v>0.19</v>
      </c>
      <c r="M206" s="87">
        <f t="shared" si="22"/>
        <v>112402874.82000001</v>
      </c>
      <c r="N206" s="87">
        <f t="shared" si="23"/>
        <v>703996952.82000005</v>
      </c>
      <c r="O206" s="82" t="s">
        <v>343</v>
      </c>
      <c r="P206" s="82" t="s">
        <v>344</v>
      </c>
      <c r="Q206" s="87">
        <f>+N206</f>
        <v>703996952.82000005</v>
      </c>
      <c r="R206" s="87">
        <v>0</v>
      </c>
      <c r="S206" s="87">
        <v>0</v>
      </c>
      <c r="T206" s="87">
        <v>0</v>
      </c>
      <c r="U206" s="82" t="s">
        <v>974</v>
      </c>
      <c r="V206" s="91" t="s">
        <v>982</v>
      </c>
      <c r="W206" s="96">
        <f t="shared" si="17"/>
        <v>591594078.00000012</v>
      </c>
      <c r="X206" s="104" t="s">
        <v>983</v>
      </c>
      <c r="Y206" s="104" t="s">
        <v>983</v>
      </c>
      <c r="Z206" s="91"/>
    </row>
    <row r="207" spans="1:26" ht="43" customHeight="1" x14ac:dyDescent="0.35">
      <c r="A207" s="81" t="s">
        <v>337</v>
      </c>
      <c r="B207" s="82" t="s">
        <v>753</v>
      </c>
      <c r="C207" s="82" t="s">
        <v>856</v>
      </c>
      <c r="D207" s="83">
        <v>55101506</v>
      </c>
      <c r="E207" s="142" t="s">
        <v>893</v>
      </c>
      <c r="F207" s="82" t="s">
        <v>986</v>
      </c>
      <c r="G207" s="83" t="s">
        <v>42</v>
      </c>
      <c r="H207" s="83" t="s">
        <v>43</v>
      </c>
      <c r="I207" s="140">
        <v>24</v>
      </c>
      <c r="J207" s="140" t="s">
        <v>350</v>
      </c>
      <c r="K207" s="87">
        <v>4000000</v>
      </c>
      <c r="L207" s="86">
        <v>0</v>
      </c>
      <c r="M207" s="87">
        <f t="shared" si="22"/>
        <v>0</v>
      </c>
      <c r="N207" s="87">
        <f t="shared" si="23"/>
        <v>4000000</v>
      </c>
      <c r="O207" s="82" t="s">
        <v>343</v>
      </c>
      <c r="P207" s="82" t="s">
        <v>344</v>
      </c>
      <c r="Q207" s="87">
        <v>4000000</v>
      </c>
      <c r="R207" s="87">
        <v>0</v>
      </c>
      <c r="S207" s="87">
        <v>0</v>
      </c>
      <c r="T207" s="87">
        <v>0</v>
      </c>
      <c r="U207" s="82" t="s">
        <v>870</v>
      </c>
      <c r="V207" s="91"/>
      <c r="W207" s="96">
        <f t="shared" si="17"/>
        <v>3361344.5378151261</v>
      </c>
      <c r="X207" s="104" t="s">
        <v>987</v>
      </c>
      <c r="Y207" s="104" t="s">
        <v>988</v>
      </c>
      <c r="Z207" s="91" t="s">
        <v>989</v>
      </c>
    </row>
    <row r="208" spans="1:26" ht="43" customHeight="1" x14ac:dyDescent="0.35">
      <c r="A208" s="81" t="s">
        <v>337</v>
      </c>
      <c r="B208" s="82" t="s">
        <v>753</v>
      </c>
      <c r="C208" s="82" t="s">
        <v>856</v>
      </c>
      <c r="D208" s="83" t="s">
        <v>990</v>
      </c>
      <c r="E208" s="142" t="s">
        <v>991</v>
      </c>
      <c r="F208" s="82" t="s">
        <v>992</v>
      </c>
      <c r="G208" s="83" t="s">
        <v>42</v>
      </c>
      <c r="H208" s="83" t="s">
        <v>42</v>
      </c>
      <c r="I208" s="140">
        <v>11</v>
      </c>
      <c r="J208" s="140" t="s">
        <v>350</v>
      </c>
      <c r="K208" s="128">
        <v>20154213</v>
      </c>
      <c r="L208" s="86">
        <v>0.19</v>
      </c>
      <c r="M208" s="87">
        <f t="shared" si="22"/>
        <v>3829300.47</v>
      </c>
      <c r="N208" s="87">
        <f t="shared" si="23"/>
        <v>23983513.469999999</v>
      </c>
      <c r="O208" s="82" t="s">
        <v>343</v>
      </c>
      <c r="P208" s="82" t="s">
        <v>344</v>
      </c>
      <c r="Q208" s="87">
        <v>23983514</v>
      </c>
      <c r="R208" s="87">
        <v>0</v>
      </c>
      <c r="S208" s="87">
        <v>0</v>
      </c>
      <c r="T208" s="87">
        <v>0</v>
      </c>
      <c r="U208" s="82" t="s">
        <v>870</v>
      </c>
      <c r="V208" s="91" t="s">
        <v>993</v>
      </c>
      <c r="W208" s="96">
        <f t="shared" si="17"/>
        <v>20154213.445378151</v>
      </c>
      <c r="X208" s="104"/>
      <c r="Y208" s="104"/>
      <c r="Z208" s="91"/>
    </row>
    <row r="209" spans="1:26" ht="43" customHeight="1" x14ac:dyDescent="0.35">
      <c r="A209" s="81" t="s">
        <v>337</v>
      </c>
      <c r="B209" s="82" t="s">
        <v>753</v>
      </c>
      <c r="C209" s="82" t="s">
        <v>856</v>
      </c>
      <c r="D209" s="83" t="s">
        <v>994</v>
      </c>
      <c r="E209" s="142" t="s">
        <v>995</v>
      </c>
      <c r="F209" s="82" t="s">
        <v>996</v>
      </c>
      <c r="G209" s="83" t="s">
        <v>42</v>
      </c>
      <c r="H209" s="83" t="s">
        <v>42</v>
      </c>
      <c r="I209" s="140">
        <v>3</v>
      </c>
      <c r="J209" s="140" t="s">
        <v>342</v>
      </c>
      <c r="K209" s="128">
        <v>384627981</v>
      </c>
      <c r="L209" s="86">
        <v>0</v>
      </c>
      <c r="M209" s="87">
        <f t="shared" si="22"/>
        <v>0</v>
      </c>
      <c r="N209" s="87">
        <f t="shared" si="23"/>
        <v>384627981</v>
      </c>
      <c r="O209" s="82" t="s">
        <v>343</v>
      </c>
      <c r="P209" s="82" t="s">
        <v>344</v>
      </c>
      <c r="Q209" s="87">
        <v>384627981</v>
      </c>
      <c r="R209" s="87">
        <v>0</v>
      </c>
      <c r="S209" s="87">
        <v>0</v>
      </c>
      <c r="T209" s="87">
        <v>0</v>
      </c>
      <c r="U209" s="82" t="s">
        <v>950</v>
      </c>
      <c r="V209" s="91" t="s">
        <v>997</v>
      </c>
      <c r="W209" s="96">
        <v>384627981</v>
      </c>
      <c r="X209" s="104" t="s">
        <v>956</v>
      </c>
      <c r="Y209" s="104" t="s">
        <v>963</v>
      </c>
      <c r="Z209" s="91" t="s">
        <v>998</v>
      </c>
    </row>
    <row r="210" spans="1:26" ht="43" customHeight="1" x14ac:dyDescent="0.35">
      <c r="A210" s="81" t="s">
        <v>337</v>
      </c>
      <c r="B210" s="82" t="s">
        <v>753</v>
      </c>
      <c r="C210" s="82" t="s">
        <v>754</v>
      </c>
      <c r="D210" s="83">
        <v>80101706</v>
      </c>
      <c r="E210" s="142" t="s">
        <v>755</v>
      </c>
      <c r="F210" s="82" t="s">
        <v>999</v>
      </c>
      <c r="G210" s="100" t="s">
        <v>53</v>
      </c>
      <c r="H210" s="83" t="s">
        <v>53</v>
      </c>
      <c r="I210" s="83">
        <v>12</v>
      </c>
      <c r="J210" s="84" t="s">
        <v>350</v>
      </c>
      <c r="K210" s="87">
        <v>60960000</v>
      </c>
      <c r="L210" s="86">
        <v>0</v>
      </c>
      <c r="M210" s="87">
        <f t="shared" si="22"/>
        <v>0</v>
      </c>
      <c r="N210" s="87">
        <f t="shared" si="23"/>
        <v>60960000</v>
      </c>
      <c r="O210" s="82" t="s">
        <v>343</v>
      </c>
      <c r="P210" s="82" t="s">
        <v>344</v>
      </c>
      <c r="Q210" s="87">
        <v>60960000</v>
      </c>
      <c r="R210" s="87"/>
      <c r="S210" s="87"/>
      <c r="T210" s="87"/>
      <c r="U210" s="82" t="s">
        <v>757</v>
      </c>
      <c r="V210" s="91" t="s">
        <v>1000</v>
      </c>
      <c r="W210" s="96">
        <f t="shared" ref="W210:W222" si="24">+Q210/1.19</f>
        <v>51226890.756302521</v>
      </c>
      <c r="X210" s="91" t="s">
        <v>347</v>
      </c>
      <c r="Y210" s="91" t="s">
        <v>347</v>
      </c>
      <c r="Z210" s="91" t="s">
        <v>759</v>
      </c>
    </row>
    <row r="211" spans="1:26" ht="43" customHeight="1" x14ac:dyDescent="0.35">
      <c r="A211" s="81" t="s">
        <v>337</v>
      </c>
      <c r="B211" s="82" t="s">
        <v>753</v>
      </c>
      <c r="C211" s="82" t="s">
        <v>754</v>
      </c>
      <c r="D211" s="84">
        <v>80101706</v>
      </c>
      <c r="E211" s="99" t="s">
        <v>755</v>
      </c>
      <c r="F211" s="99" t="s">
        <v>1001</v>
      </c>
      <c r="G211" s="83" t="s">
        <v>42</v>
      </c>
      <c r="H211" s="83" t="s">
        <v>42</v>
      </c>
      <c r="I211" s="83">
        <v>12</v>
      </c>
      <c r="J211" s="84" t="s">
        <v>350</v>
      </c>
      <c r="K211" s="87">
        <v>90000000</v>
      </c>
      <c r="L211" s="86">
        <v>0.19</v>
      </c>
      <c r="M211" s="87">
        <f t="shared" si="22"/>
        <v>17100000</v>
      </c>
      <c r="N211" s="87">
        <f t="shared" si="23"/>
        <v>107100000</v>
      </c>
      <c r="O211" s="82" t="s">
        <v>343</v>
      </c>
      <c r="P211" s="82" t="s">
        <v>344</v>
      </c>
      <c r="Q211" s="87">
        <f>+K211+M211</f>
        <v>107100000</v>
      </c>
      <c r="R211" s="87">
        <v>0</v>
      </c>
      <c r="S211" s="87">
        <v>0</v>
      </c>
      <c r="T211" s="87">
        <v>0</v>
      </c>
      <c r="U211" s="134" t="s">
        <v>762</v>
      </c>
      <c r="V211" s="82" t="s">
        <v>1002</v>
      </c>
      <c r="W211" s="96">
        <f t="shared" si="24"/>
        <v>90000000</v>
      </c>
      <c r="X211" s="91" t="s">
        <v>347</v>
      </c>
      <c r="Y211" s="91" t="s">
        <v>347</v>
      </c>
      <c r="Z211" s="91" t="s">
        <v>759</v>
      </c>
    </row>
    <row r="212" spans="1:26" ht="43" customHeight="1" x14ac:dyDescent="0.35">
      <c r="A212" s="81" t="s">
        <v>337</v>
      </c>
      <c r="B212" s="82" t="s">
        <v>1003</v>
      </c>
      <c r="C212" s="82" t="s">
        <v>1004</v>
      </c>
      <c r="D212" s="112">
        <v>82101800</v>
      </c>
      <c r="E212" s="82" t="s">
        <v>1005</v>
      </c>
      <c r="F212" s="82" t="s">
        <v>1006</v>
      </c>
      <c r="G212" s="83" t="s">
        <v>42</v>
      </c>
      <c r="H212" s="83" t="s">
        <v>42</v>
      </c>
      <c r="I212" s="83">
        <v>12</v>
      </c>
      <c r="J212" s="83" t="s">
        <v>403</v>
      </c>
      <c r="K212" s="96">
        <v>1513215930</v>
      </c>
      <c r="L212" s="102">
        <v>0.19</v>
      </c>
      <c r="M212" s="87">
        <f t="shared" si="22"/>
        <v>287511026.69999999</v>
      </c>
      <c r="N212" s="87">
        <f t="shared" si="23"/>
        <v>1800726956.7</v>
      </c>
      <c r="O212" s="82" t="s">
        <v>358</v>
      </c>
      <c r="P212" s="82" t="s">
        <v>359</v>
      </c>
      <c r="Q212" s="96">
        <v>1500605797</v>
      </c>
      <c r="R212" s="96">
        <v>300121159</v>
      </c>
      <c r="S212" s="96">
        <v>0</v>
      </c>
      <c r="T212" s="96">
        <v>0</v>
      </c>
      <c r="U212" s="108" t="s">
        <v>769</v>
      </c>
      <c r="V212" s="82"/>
      <c r="W212" s="96">
        <f t="shared" si="24"/>
        <v>1261013274.789916</v>
      </c>
      <c r="X212" s="104" t="s">
        <v>1007</v>
      </c>
      <c r="Y212" s="104" t="s">
        <v>1008</v>
      </c>
      <c r="Z212" s="104" t="s">
        <v>1009</v>
      </c>
    </row>
    <row r="213" spans="1:26" ht="43" customHeight="1" thickBot="1" x14ac:dyDescent="0.4">
      <c r="A213" s="81" t="s">
        <v>337</v>
      </c>
      <c r="B213" s="82" t="s">
        <v>1003</v>
      </c>
      <c r="C213" s="82" t="s">
        <v>1004</v>
      </c>
      <c r="D213" s="112">
        <v>82101500</v>
      </c>
      <c r="E213" s="82" t="s">
        <v>1010</v>
      </c>
      <c r="F213" s="82" t="s">
        <v>1011</v>
      </c>
      <c r="G213" s="83" t="s">
        <v>42</v>
      </c>
      <c r="H213" s="83" t="s">
        <v>42</v>
      </c>
      <c r="I213" s="83">
        <v>12</v>
      </c>
      <c r="J213" s="83" t="s">
        <v>342</v>
      </c>
      <c r="K213" s="96">
        <v>245806494</v>
      </c>
      <c r="L213" s="102">
        <v>0.19</v>
      </c>
      <c r="M213" s="87">
        <f t="shared" si="22"/>
        <v>46703233.859999999</v>
      </c>
      <c r="N213" s="87">
        <f t="shared" si="23"/>
        <v>292509727.86000001</v>
      </c>
      <c r="O213" s="82" t="s">
        <v>343</v>
      </c>
      <c r="P213" s="82" t="s">
        <v>344</v>
      </c>
      <c r="Q213" s="96">
        <v>292509728</v>
      </c>
      <c r="R213" s="96">
        <v>0</v>
      </c>
      <c r="S213" s="96">
        <v>0</v>
      </c>
      <c r="T213" s="96">
        <v>0</v>
      </c>
      <c r="U213" s="82" t="s">
        <v>1012</v>
      </c>
      <c r="V213" s="82"/>
      <c r="W213" s="144">
        <f t="shared" si="24"/>
        <v>245806494.11764708</v>
      </c>
      <c r="X213" s="104" t="s">
        <v>1013</v>
      </c>
      <c r="Y213" s="104" t="s">
        <v>1014</v>
      </c>
      <c r="Z213" s="104" t="s">
        <v>1015</v>
      </c>
    </row>
    <row r="214" spans="1:26" ht="43" customHeight="1" x14ac:dyDescent="0.35">
      <c r="A214" s="81" t="s">
        <v>337</v>
      </c>
      <c r="B214" s="82" t="s">
        <v>1003</v>
      </c>
      <c r="C214" s="82" t="s">
        <v>1004</v>
      </c>
      <c r="D214" s="112">
        <v>82101600</v>
      </c>
      <c r="E214" s="126" t="s">
        <v>1016</v>
      </c>
      <c r="F214" s="82" t="s">
        <v>1017</v>
      </c>
      <c r="G214" s="83" t="s">
        <v>44</v>
      </c>
      <c r="H214" s="83" t="s">
        <v>44</v>
      </c>
      <c r="I214" s="83">
        <v>1</v>
      </c>
      <c r="J214" s="83" t="s">
        <v>350</v>
      </c>
      <c r="K214" s="96">
        <v>50000000</v>
      </c>
      <c r="L214" s="102">
        <v>0.19</v>
      </c>
      <c r="M214" s="87">
        <f t="shared" si="22"/>
        <v>9500000</v>
      </c>
      <c r="N214" s="87">
        <f t="shared" si="23"/>
        <v>59500000</v>
      </c>
      <c r="O214" s="82" t="s">
        <v>343</v>
      </c>
      <c r="P214" s="82" t="s">
        <v>344</v>
      </c>
      <c r="Q214" s="96">
        <v>71400000</v>
      </c>
      <c r="R214" s="96">
        <v>0</v>
      </c>
      <c r="S214" s="96">
        <v>0</v>
      </c>
      <c r="T214" s="96">
        <v>0</v>
      </c>
      <c r="U214" s="82" t="s">
        <v>1012</v>
      </c>
      <c r="V214" s="88"/>
      <c r="W214" s="145">
        <f t="shared" si="24"/>
        <v>60000000</v>
      </c>
      <c r="X214" s="104" t="s">
        <v>1018</v>
      </c>
      <c r="Y214" s="104" t="s">
        <v>1019</v>
      </c>
      <c r="Z214" s="104" t="s">
        <v>1020</v>
      </c>
    </row>
    <row r="215" spans="1:26" ht="43" customHeight="1" thickBot="1" x14ac:dyDescent="0.4">
      <c r="A215" s="81" t="s">
        <v>337</v>
      </c>
      <c r="B215" s="82" t="s">
        <v>1003</v>
      </c>
      <c r="C215" s="82" t="s">
        <v>1004</v>
      </c>
      <c r="D215" s="112">
        <v>82101600</v>
      </c>
      <c r="E215" s="126" t="s">
        <v>1016</v>
      </c>
      <c r="F215" s="82" t="s">
        <v>1021</v>
      </c>
      <c r="G215" s="83" t="s">
        <v>49</v>
      </c>
      <c r="H215" s="83" t="s">
        <v>49</v>
      </c>
      <c r="I215" s="83">
        <v>1</v>
      </c>
      <c r="J215" s="83" t="s">
        <v>350</v>
      </c>
      <c r="K215" s="96">
        <v>50000000</v>
      </c>
      <c r="L215" s="102">
        <v>0.19</v>
      </c>
      <c r="M215" s="87">
        <f t="shared" si="22"/>
        <v>9500000</v>
      </c>
      <c r="N215" s="87">
        <f t="shared" si="23"/>
        <v>59500000</v>
      </c>
      <c r="O215" s="82" t="s">
        <v>343</v>
      </c>
      <c r="P215" s="82" t="s">
        <v>344</v>
      </c>
      <c r="Q215" s="96">
        <v>71400000</v>
      </c>
      <c r="R215" s="96">
        <v>0</v>
      </c>
      <c r="S215" s="96">
        <v>0</v>
      </c>
      <c r="T215" s="96">
        <v>0</v>
      </c>
      <c r="U215" s="82" t="s">
        <v>1012</v>
      </c>
      <c r="V215" s="88"/>
      <c r="W215" s="146">
        <f t="shared" si="24"/>
        <v>60000000</v>
      </c>
      <c r="X215" s="104" t="s">
        <v>1018</v>
      </c>
      <c r="Y215" s="104" t="s">
        <v>1019</v>
      </c>
      <c r="Z215" s="104" t="s">
        <v>1020</v>
      </c>
    </row>
    <row r="216" spans="1:26" ht="43" customHeight="1" x14ac:dyDescent="0.35">
      <c r="A216" s="81" t="s">
        <v>337</v>
      </c>
      <c r="B216" s="82" t="s">
        <v>1003</v>
      </c>
      <c r="C216" s="82" t="s">
        <v>1022</v>
      </c>
      <c r="D216" s="147" t="s">
        <v>1023</v>
      </c>
      <c r="E216" s="82" t="s">
        <v>1024</v>
      </c>
      <c r="F216" s="82" t="s">
        <v>1025</v>
      </c>
      <c r="G216" s="83" t="s">
        <v>44</v>
      </c>
      <c r="H216" s="83" t="s">
        <v>44</v>
      </c>
      <c r="I216" s="83">
        <v>9</v>
      </c>
      <c r="J216" s="83" t="s">
        <v>350</v>
      </c>
      <c r="K216" s="96">
        <v>50000000</v>
      </c>
      <c r="L216" s="86">
        <v>0</v>
      </c>
      <c r="M216" s="87">
        <f t="shared" si="22"/>
        <v>0</v>
      </c>
      <c r="N216" s="87">
        <f t="shared" si="23"/>
        <v>50000000</v>
      </c>
      <c r="O216" s="82" t="s">
        <v>343</v>
      </c>
      <c r="P216" s="82" t="s">
        <v>344</v>
      </c>
      <c r="Q216" s="87">
        <v>50000000</v>
      </c>
      <c r="R216" s="96">
        <v>0</v>
      </c>
      <c r="S216" s="96">
        <v>0</v>
      </c>
      <c r="T216" s="96">
        <v>0</v>
      </c>
      <c r="U216" s="82" t="s">
        <v>1026</v>
      </c>
      <c r="V216" s="82"/>
      <c r="W216" s="148">
        <f t="shared" si="24"/>
        <v>42016806.722689077</v>
      </c>
      <c r="X216" s="104" t="s">
        <v>657</v>
      </c>
      <c r="Y216" s="104" t="s">
        <v>658</v>
      </c>
      <c r="Z216" s="104" t="s">
        <v>659</v>
      </c>
    </row>
    <row r="217" spans="1:26" ht="43" customHeight="1" x14ac:dyDescent="0.35">
      <c r="A217" s="81" t="s">
        <v>337</v>
      </c>
      <c r="B217" s="82" t="s">
        <v>1003</v>
      </c>
      <c r="C217" s="82" t="s">
        <v>1022</v>
      </c>
      <c r="D217" s="112">
        <v>86121700</v>
      </c>
      <c r="E217" s="82" t="s">
        <v>1027</v>
      </c>
      <c r="F217" s="82" t="s">
        <v>1028</v>
      </c>
      <c r="G217" s="83" t="s">
        <v>46</v>
      </c>
      <c r="H217" s="83" t="s">
        <v>46</v>
      </c>
      <c r="I217" s="83">
        <v>2</v>
      </c>
      <c r="J217" s="83" t="s">
        <v>350</v>
      </c>
      <c r="K217" s="96">
        <v>28000000</v>
      </c>
      <c r="L217" s="102">
        <v>0.19</v>
      </c>
      <c r="M217" s="87">
        <f t="shared" si="22"/>
        <v>5320000</v>
      </c>
      <c r="N217" s="87">
        <f t="shared" si="23"/>
        <v>33320000</v>
      </c>
      <c r="O217" s="82" t="s">
        <v>343</v>
      </c>
      <c r="P217" s="82" t="s">
        <v>344</v>
      </c>
      <c r="Q217" s="96">
        <v>33320000</v>
      </c>
      <c r="R217" s="96">
        <v>0</v>
      </c>
      <c r="S217" s="96">
        <v>0</v>
      </c>
      <c r="T217" s="96">
        <v>0</v>
      </c>
      <c r="U217" s="82" t="s">
        <v>1029</v>
      </c>
      <c r="V217" s="82" t="s">
        <v>443</v>
      </c>
      <c r="W217" s="103">
        <f t="shared" si="24"/>
        <v>28000000</v>
      </c>
      <c r="X217" s="104" t="s">
        <v>657</v>
      </c>
      <c r="Y217" s="104" t="s">
        <v>658</v>
      </c>
      <c r="Z217" s="104" t="s">
        <v>659</v>
      </c>
    </row>
    <row r="218" spans="1:26" ht="43" customHeight="1" x14ac:dyDescent="0.35">
      <c r="A218" s="81" t="s">
        <v>337</v>
      </c>
      <c r="B218" s="82" t="s">
        <v>1003</v>
      </c>
      <c r="C218" s="82" t="s">
        <v>1022</v>
      </c>
      <c r="D218" s="112">
        <v>86121700</v>
      </c>
      <c r="E218" s="82" t="s">
        <v>1027</v>
      </c>
      <c r="F218" s="82" t="s">
        <v>1028</v>
      </c>
      <c r="G218" s="83" t="s">
        <v>51</v>
      </c>
      <c r="H218" s="83" t="s">
        <v>51</v>
      </c>
      <c r="I218" s="83">
        <v>2</v>
      </c>
      <c r="J218" s="83" t="s">
        <v>350</v>
      </c>
      <c r="K218" s="96">
        <v>28000000</v>
      </c>
      <c r="L218" s="102">
        <v>0.19</v>
      </c>
      <c r="M218" s="87">
        <f t="shared" si="22"/>
        <v>5320000</v>
      </c>
      <c r="N218" s="87">
        <f t="shared" si="23"/>
        <v>33320000</v>
      </c>
      <c r="O218" s="82" t="s">
        <v>343</v>
      </c>
      <c r="P218" s="82" t="s">
        <v>344</v>
      </c>
      <c r="Q218" s="96">
        <v>33320000</v>
      </c>
      <c r="R218" s="96">
        <v>0</v>
      </c>
      <c r="S218" s="96">
        <v>0</v>
      </c>
      <c r="T218" s="96">
        <v>0</v>
      </c>
      <c r="U218" s="82" t="s">
        <v>1029</v>
      </c>
      <c r="V218" s="82" t="s">
        <v>443</v>
      </c>
      <c r="W218" s="103">
        <f t="shared" si="24"/>
        <v>28000000</v>
      </c>
      <c r="X218" s="104" t="s">
        <v>657</v>
      </c>
      <c r="Y218" s="104" t="s">
        <v>658</v>
      </c>
      <c r="Z218" s="104" t="s">
        <v>659</v>
      </c>
    </row>
    <row r="219" spans="1:26" ht="43" customHeight="1" x14ac:dyDescent="0.35">
      <c r="A219" s="81" t="s">
        <v>337</v>
      </c>
      <c r="B219" s="82" t="s">
        <v>1003</v>
      </c>
      <c r="C219" s="82" t="s">
        <v>1022</v>
      </c>
      <c r="D219" s="83">
        <v>90121502</v>
      </c>
      <c r="E219" s="82" t="s">
        <v>847</v>
      </c>
      <c r="F219" s="82" t="s">
        <v>1030</v>
      </c>
      <c r="G219" s="83" t="s">
        <v>42</v>
      </c>
      <c r="H219" s="83" t="s">
        <v>42</v>
      </c>
      <c r="I219" s="83">
        <v>5</v>
      </c>
      <c r="J219" s="83" t="s">
        <v>403</v>
      </c>
      <c r="K219" s="96">
        <v>1100000000</v>
      </c>
      <c r="L219" s="102">
        <v>0.19</v>
      </c>
      <c r="M219" s="87">
        <f t="shared" si="22"/>
        <v>209000000</v>
      </c>
      <c r="N219" s="87">
        <f t="shared" si="23"/>
        <v>1309000000</v>
      </c>
      <c r="O219" s="82" t="s">
        <v>343</v>
      </c>
      <c r="P219" s="82" t="s">
        <v>344</v>
      </c>
      <c r="Q219" s="96">
        <v>1309000000</v>
      </c>
      <c r="R219" s="96">
        <v>0</v>
      </c>
      <c r="S219" s="96">
        <v>0</v>
      </c>
      <c r="T219" s="96">
        <v>0</v>
      </c>
      <c r="U219" s="82" t="s">
        <v>1029</v>
      </c>
      <c r="V219" s="82" t="s">
        <v>443</v>
      </c>
      <c r="W219" s="103">
        <f t="shared" si="24"/>
        <v>1100000000</v>
      </c>
      <c r="X219" s="104" t="s">
        <v>657</v>
      </c>
      <c r="Y219" s="104" t="s">
        <v>658</v>
      </c>
      <c r="Z219" s="104" t="s">
        <v>659</v>
      </c>
    </row>
    <row r="220" spans="1:26" ht="43" customHeight="1" x14ac:dyDescent="0.35">
      <c r="A220" s="81" t="s">
        <v>337</v>
      </c>
      <c r="B220" s="82" t="s">
        <v>1003</v>
      </c>
      <c r="C220" s="82" t="s">
        <v>1022</v>
      </c>
      <c r="D220" s="147" t="s">
        <v>1031</v>
      </c>
      <c r="E220" s="149" t="s">
        <v>370</v>
      </c>
      <c r="F220" s="82" t="s">
        <v>1032</v>
      </c>
      <c r="G220" s="83" t="s">
        <v>50</v>
      </c>
      <c r="H220" s="83" t="s">
        <v>50</v>
      </c>
      <c r="I220" s="83">
        <v>12</v>
      </c>
      <c r="J220" s="84" t="s">
        <v>350</v>
      </c>
      <c r="K220" s="87">
        <v>16806722</v>
      </c>
      <c r="L220" s="86">
        <v>0.19</v>
      </c>
      <c r="M220" s="87">
        <f t="shared" si="22"/>
        <v>3193277.18</v>
      </c>
      <c r="N220" s="87">
        <f t="shared" si="23"/>
        <v>19999999.18</v>
      </c>
      <c r="O220" s="82" t="s">
        <v>343</v>
      </c>
      <c r="P220" s="82" t="s">
        <v>344</v>
      </c>
      <c r="Q220" s="87">
        <v>20000000</v>
      </c>
      <c r="R220" s="96">
        <v>0</v>
      </c>
      <c r="S220" s="96">
        <v>0</v>
      </c>
      <c r="T220" s="96">
        <v>0</v>
      </c>
      <c r="U220" s="82" t="s">
        <v>1033</v>
      </c>
      <c r="V220" s="82"/>
      <c r="W220" s="103">
        <f t="shared" si="24"/>
        <v>16806722.68907563</v>
      </c>
      <c r="X220" s="104" t="s">
        <v>657</v>
      </c>
      <c r="Y220" s="104" t="s">
        <v>658</v>
      </c>
      <c r="Z220" s="104" t="s">
        <v>659</v>
      </c>
    </row>
    <row r="221" spans="1:26" ht="43" customHeight="1" x14ac:dyDescent="0.35">
      <c r="A221" s="81" t="s">
        <v>337</v>
      </c>
      <c r="B221" s="82" t="s">
        <v>1003</v>
      </c>
      <c r="C221" s="82" t="s">
        <v>1034</v>
      </c>
      <c r="D221" s="83">
        <v>83111507</v>
      </c>
      <c r="E221" s="82" t="s">
        <v>1035</v>
      </c>
      <c r="F221" s="82" t="s">
        <v>1036</v>
      </c>
      <c r="G221" s="83" t="s">
        <v>42</v>
      </c>
      <c r="H221" s="83" t="s">
        <v>44</v>
      </c>
      <c r="I221" s="83">
        <v>36</v>
      </c>
      <c r="J221" s="83" t="s">
        <v>403</v>
      </c>
      <c r="K221" s="96">
        <v>315034924</v>
      </c>
      <c r="L221" s="102">
        <v>0.19</v>
      </c>
      <c r="M221" s="87">
        <f t="shared" si="22"/>
        <v>59856635.560000002</v>
      </c>
      <c r="N221" s="87">
        <f t="shared" si="23"/>
        <v>374891559.56</v>
      </c>
      <c r="O221" s="82" t="s">
        <v>358</v>
      </c>
      <c r="P221" s="82" t="s">
        <v>359</v>
      </c>
      <c r="Q221" s="87">
        <v>309912909.07046413</v>
      </c>
      <c r="R221" s="96">
        <v>0</v>
      </c>
      <c r="S221" s="96">
        <v>0</v>
      </c>
      <c r="T221" s="96">
        <v>0</v>
      </c>
      <c r="U221" s="82" t="s">
        <v>1037</v>
      </c>
      <c r="V221" s="82" t="s">
        <v>1038</v>
      </c>
      <c r="W221" s="103">
        <f t="shared" si="24"/>
        <v>260431016.02560014</v>
      </c>
      <c r="X221" s="104" t="s">
        <v>1039</v>
      </c>
      <c r="Y221" s="104" t="s">
        <v>1039</v>
      </c>
      <c r="Z221" s="104" t="s">
        <v>1040</v>
      </c>
    </row>
    <row r="222" spans="1:26" ht="43" customHeight="1" x14ac:dyDescent="0.35">
      <c r="A222" s="81" t="s">
        <v>337</v>
      </c>
      <c r="B222" s="82" t="s">
        <v>1003</v>
      </c>
      <c r="C222" s="82" t="s">
        <v>1034</v>
      </c>
      <c r="D222" s="83">
        <v>83111507</v>
      </c>
      <c r="E222" s="82" t="s">
        <v>1035</v>
      </c>
      <c r="F222" s="82" t="s">
        <v>1041</v>
      </c>
      <c r="G222" s="83" t="s">
        <v>42</v>
      </c>
      <c r="H222" s="83" t="s">
        <v>44</v>
      </c>
      <c r="I222" s="83">
        <v>36</v>
      </c>
      <c r="J222" s="83" t="s">
        <v>403</v>
      </c>
      <c r="K222" s="96">
        <v>4286489280</v>
      </c>
      <c r="L222" s="102">
        <v>0.19</v>
      </c>
      <c r="M222" s="87">
        <f t="shared" si="22"/>
        <v>814432963.20000005</v>
      </c>
      <c r="N222" s="87">
        <f t="shared" si="23"/>
        <v>5100922243.1999998</v>
      </c>
      <c r="O222" s="82" t="s">
        <v>358</v>
      </c>
      <c r="P222" s="82" t="s">
        <v>359</v>
      </c>
      <c r="Q222" s="87">
        <v>4142656120.9026732</v>
      </c>
      <c r="R222" s="96">
        <v>0</v>
      </c>
      <c r="S222" s="96">
        <v>0</v>
      </c>
      <c r="T222" s="96">
        <v>0</v>
      </c>
      <c r="U222" s="82" t="s">
        <v>1037</v>
      </c>
      <c r="V222" s="82" t="s">
        <v>1042</v>
      </c>
      <c r="W222" s="103">
        <f t="shared" si="24"/>
        <v>3481223631.0106502</v>
      </c>
      <c r="X222" s="104" t="s">
        <v>1043</v>
      </c>
      <c r="Y222" s="104" t="s">
        <v>1043</v>
      </c>
      <c r="Z222" s="104" t="s">
        <v>1043</v>
      </c>
    </row>
    <row r="223" spans="1:26" ht="43" customHeight="1" x14ac:dyDescent="0.35">
      <c r="A223" s="81" t="s">
        <v>337</v>
      </c>
      <c r="B223" s="82" t="s">
        <v>1003</v>
      </c>
      <c r="C223" s="82" t="s">
        <v>1034</v>
      </c>
      <c r="D223" s="83" t="s">
        <v>1044</v>
      </c>
      <c r="E223" s="82" t="s">
        <v>1045</v>
      </c>
      <c r="F223" s="82" t="s">
        <v>1046</v>
      </c>
      <c r="G223" s="83" t="s">
        <v>52</v>
      </c>
      <c r="H223" s="83" t="s">
        <v>52</v>
      </c>
      <c r="I223" s="83">
        <v>12</v>
      </c>
      <c r="J223" s="83" t="s">
        <v>350</v>
      </c>
      <c r="K223" s="96">
        <v>19533572</v>
      </c>
      <c r="L223" s="102">
        <v>0.19</v>
      </c>
      <c r="M223" s="87">
        <f t="shared" si="22"/>
        <v>3711378.68</v>
      </c>
      <c r="N223" s="87">
        <f t="shared" si="23"/>
        <v>23244950.68</v>
      </c>
      <c r="O223" s="82" t="s">
        <v>343</v>
      </c>
      <c r="P223" s="82" t="s">
        <v>344</v>
      </c>
      <c r="Q223" s="96">
        <v>23244950.68</v>
      </c>
      <c r="R223" s="96">
        <v>0</v>
      </c>
      <c r="S223" s="96">
        <v>0</v>
      </c>
      <c r="T223" s="96">
        <v>0</v>
      </c>
      <c r="U223" s="82" t="s">
        <v>1047</v>
      </c>
      <c r="V223" s="82" t="s">
        <v>1048</v>
      </c>
      <c r="W223" s="103">
        <f>+K223</f>
        <v>19533572</v>
      </c>
      <c r="X223" s="104" t="s">
        <v>1049</v>
      </c>
      <c r="Y223" s="104" t="s">
        <v>1050</v>
      </c>
      <c r="Z223" s="104" t="s">
        <v>1049</v>
      </c>
    </row>
    <row r="224" spans="1:26" ht="43" customHeight="1" x14ac:dyDescent="0.35">
      <c r="A224" s="81" t="s">
        <v>337</v>
      </c>
      <c r="B224" s="82" t="s">
        <v>1003</v>
      </c>
      <c r="C224" s="82" t="s">
        <v>1034</v>
      </c>
      <c r="D224" s="83">
        <v>80141605</v>
      </c>
      <c r="E224" s="82" t="s">
        <v>1051</v>
      </c>
      <c r="F224" s="82" t="s">
        <v>1052</v>
      </c>
      <c r="G224" s="83" t="s">
        <v>43</v>
      </c>
      <c r="H224" s="83" t="s">
        <v>45</v>
      </c>
      <c r="I224" s="83">
        <v>2</v>
      </c>
      <c r="J224" s="83" t="s">
        <v>350</v>
      </c>
      <c r="K224" s="96">
        <v>22100000</v>
      </c>
      <c r="L224" s="102">
        <v>0.19</v>
      </c>
      <c r="M224" s="101">
        <f t="shared" si="22"/>
        <v>4199000</v>
      </c>
      <c r="N224" s="87">
        <f t="shared" si="23"/>
        <v>26299000</v>
      </c>
      <c r="O224" s="82" t="s">
        <v>343</v>
      </c>
      <c r="P224" s="82" t="s">
        <v>344</v>
      </c>
      <c r="Q224" s="96">
        <f>+W224*1.19</f>
        <v>26299000</v>
      </c>
      <c r="R224" s="96">
        <v>0</v>
      </c>
      <c r="S224" s="96">
        <v>0</v>
      </c>
      <c r="T224" s="96">
        <v>0</v>
      </c>
      <c r="U224" s="82" t="s">
        <v>1053</v>
      </c>
      <c r="V224" s="82" t="s">
        <v>1054</v>
      </c>
      <c r="W224" s="103">
        <f>+K224</f>
        <v>22100000</v>
      </c>
      <c r="X224" s="104" t="s">
        <v>1049</v>
      </c>
      <c r="Y224" s="104" t="s">
        <v>1055</v>
      </c>
      <c r="Z224" s="104"/>
    </row>
    <row r="225" spans="1:26" ht="43" customHeight="1" x14ac:dyDescent="0.35">
      <c r="A225" s="81" t="s">
        <v>337</v>
      </c>
      <c r="B225" s="82" t="s">
        <v>1003</v>
      </c>
      <c r="C225" s="82" t="s">
        <v>1034</v>
      </c>
      <c r="D225" s="83">
        <v>80101509</v>
      </c>
      <c r="E225" s="82" t="s">
        <v>1056</v>
      </c>
      <c r="F225" s="82" t="s">
        <v>1057</v>
      </c>
      <c r="G225" s="83" t="s">
        <v>44</v>
      </c>
      <c r="H225" s="83" t="s">
        <v>46</v>
      </c>
      <c r="I225" s="83">
        <v>8</v>
      </c>
      <c r="J225" s="83" t="s">
        <v>342</v>
      </c>
      <c r="K225" s="101">
        <v>259000000</v>
      </c>
      <c r="L225" s="102">
        <v>0.19</v>
      </c>
      <c r="M225" s="96">
        <f t="shared" si="22"/>
        <v>49210000</v>
      </c>
      <c r="N225" s="87">
        <f t="shared" si="23"/>
        <v>308210000</v>
      </c>
      <c r="O225" s="82" t="s">
        <v>343</v>
      </c>
      <c r="P225" s="82" t="s">
        <v>344</v>
      </c>
      <c r="Q225" s="101">
        <v>308210000</v>
      </c>
      <c r="R225" s="96">
        <v>0</v>
      </c>
      <c r="S225" s="96">
        <v>0</v>
      </c>
      <c r="T225" s="96">
        <v>0</v>
      </c>
      <c r="U225" s="82" t="s">
        <v>1058</v>
      </c>
      <c r="V225" s="82" t="s">
        <v>1059</v>
      </c>
      <c r="W225" s="103">
        <f>+Q225/1.19</f>
        <v>259000000</v>
      </c>
      <c r="X225" s="104"/>
      <c r="Y225" s="104"/>
      <c r="Z225" s="104"/>
    </row>
    <row r="226" spans="1:26" ht="43" customHeight="1" x14ac:dyDescent="0.35">
      <c r="A226" s="81" t="s">
        <v>337</v>
      </c>
      <c r="B226" s="82" t="s">
        <v>1003</v>
      </c>
      <c r="C226" s="82" t="s">
        <v>1034</v>
      </c>
      <c r="D226" s="83">
        <v>60105200</v>
      </c>
      <c r="E226" s="82" t="s">
        <v>1060</v>
      </c>
      <c r="F226" s="82" t="s">
        <v>1061</v>
      </c>
      <c r="G226" s="83" t="s">
        <v>52</v>
      </c>
      <c r="H226" s="83" t="s">
        <v>52</v>
      </c>
      <c r="I226" s="83">
        <v>12</v>
      </c>
      <c r="J226" s="83" t="s">
        <v>342</v>
      </c>
      <c r="K226" s="96">
        <v>91700000</v>
      </c>
      <c r="L226" s="102">
        <v>0.19</v>
      </c>
      <c r="M226" s="96">
        <f t="shared" si="22"/>
        <v>17423000</v>
      </c>
      <c r="N226" s="87">
        <f t="shared" si="23"/>
        <v>109123000</v>
      </c>
      <c r="O226" s="82" t="s">
        <v>343</v>
      </c>
      <c r="P226" s="82" t="s">
        <v>344</v>
      </c>
      <c r="Q226" s="96">
        <v>109123000</v>
      </c>
      <c r="R226" s="96">
        <v>0</v>
      </c>
      <c r="S226" s="96">
        <v>0</v>
      </c>
      <c r="T226" s="96">
        <v>0</v>
      </c>
      <c r="U226" s="82" t="s">
        <v>1047</v>
      </c>
      <c r="V226" s="82" t="s">
        <v>1062</v>
      </c>
      <c r="W226" s="103">
        <f>+K226</f>
        <v>91700000</v>
      </c>
      <c r="X226" s="104" t="s">
        <v>347</v>
      </c>
      <c r="Y226" s="104" t="s">
        <v>347</v>
      </c>
      <c r="Z226" s="104" t="s">
        <v>1063</v>
      </c>
    </row>
    <row r="227" spans="1:26" ht="43" customHeight="1" x14ac:dyDescent="0.35">
      <c r="A227" s="150" t="s">
        <v>1064</v>
      </c>
      <c r="B227" s="91" t="s">
        <v>1003</v>
      </c>
      <c r="C227" s="91" t="s">
        <v>1065</v>
      </c>
      <c r="D227" s="151">
        <v>80141902</v>
      </c>
      <c r="E227" s="152" t="s">
        <v>1066</v>
      </c>
      <c r="F227" s="91" t="s">
        <v>1067</v>
      </c>
      <c r="G227" s="83" t="s">
        <v>47</v>
      </c>
      <c r="H227" s="83" t="s">
        <v>47</v>
      </c>
      <c r="I227" s="100">
        <v>1</v>
      </c>
      <c r="J227" s="100" t="s">
        <v>1068</v>
      </c>
      <c r="K227" s="138">
        <v>504201</v>
      </c>
      <c r="L227" s="129">
        <v>0.19</v>
      </c>
      <c r="M227" s="128">
        <f t="shared" si="22"/>
        <v>95798.19</v>
      </c>
      <c r="N227" s="128">
        <f t="shared" si="23"/>
        <v>599999.18999999994</v>
      </c>
      <c r="O227" s="91" t="s">
        <v>343</v>
      </c>
      <c r="P227" s="91" t="s">
        <v>344</v>
      </c>
      <c r="Q227" s="128">
        <f t="shared" ref="Q227:Q290" si="25">N227</f>
        <v>599999.18999999994</v>
      </c>
      <c r="R227" s="128"/>
      <c r="S227" s="128"/>
      <c r="T227" s="128"/>
      <c r="U227" s="153" t="s">
        <v>1069</v>
      </c>
      <c r="V227" s="91"/>
      <c r="W227" s="138">
        <f t="shared" ref="W227:W232" si="26">+Q227/1.19</f>
        <v>504201</v>
      </c>
      <c r="X227" s="104" t="s">
        <v>811</v>
      </c>
      <c r="Y227" s="104" t="s">
        <v>811</v>
      </c>
      <c r="Z227" s="104" t="s">
        <v>825</v>
      </c>
    </row>
    <row r="228" spans="1:26" ht="43" customHeight="1" x14ac:dyDescent="0.35">
      <c r="A228" s="150" t="s">
        <v>1064</v>
      </c>
      <c r="B228" s="91" t="s">
        <v>1003</v>
      </c>
      <c r="C228" s="91" t="s">
        <v>1065</v>
      </c>
      <c r="D228" s="151">
        <v>80141902</v>
      </c>
      <c r="E228" s="152" t="s">
        <v>1066</v>
      </c>
      <c r="F228" s="91" t="s">
        <v>1070</v>
      </c>
      <c r="G228" s="100" t="s">
        <v>53</v>
      </c>
      <c r="H228" s="83" t="s">
        <v>53</v>
      </c>
      <c r="I228" s="100">
        <v>1</v>
      </c>
      <c r="J228" s="100" t="s">
        <v>1068</v>
      </c>
      <c r="K228" s="138">
        <v>672268</v>
      </c>
      <c r="L228" s="129">
        <v>0.19</v>
      </c>
      <c r="M228" s="128">
        <f t="shared" si="22"/>
        <v>127730.92</v>
      </c>
      <c r="N228" s="128">
        <f t="shared" si="23"/>
        <v>799998.92</v>
      </c>
      <c r="O228" s="91" t="s">
        <v>343</v>
      </c>
      <c r="P228" s="91" t="s">
        <v>344</v>
      </c>
      <c r="Q228" s="128">
        <f t="shared" si="25"/>
        <v>799998.92</v>
      </c>
      <c r="R228" s="128"/>
      <c r="S228" s="128"/>
      <c r="T228" s="128"/>
      <c r="U228" s="153" t="s">
        <v>1069</v>
      </c>
      <c r="V228" s="91"/>
      <c r="W228" s="138">
        <f t="shared" si="26"/>
        <v>672268.00000000012</v>
      </c>
      <c r="X228" s="104" t="s">
        <v>811</v>
      </c>
      <c r="Y228" s="104" t="s">
        <v>811</v>
      </c>
      <c r="Z228" s="104" t="s">
        <v>825</v>
      </c>
    </row>
    <row r="229" spans="1:26" ht="43" customHeight="1" x14ac:dyDescent="0.35">
      <c r="A229" s="150" t="s">
        <v>1064</v>
      </c>
      <c r="B229" s="91" t="s">
        <v>1003</v>
      </c>
      <c r="C229" s="91" t="s">
        <v>1065</v>
      </c>
      <c r="D229" s="151">
        <v>80131502</v>
      </c>
      <c r="E229" s="91" t="s">
        <v>1071</v>
      </c>
      <c r="F229" s="91" t="s">
        <v>1072</v>
      </c>
      <c r="G229" s="83" t="s">
        <v>50</v>
      </c>
      <c r="H229" s="83" t="s">
        <v>50</v>
      </c>
      <c r="I229" s="100">
        <v>1</v>
      </c>
      <c r="J229" s="100" t="s">
        <v>350</v>
      </c>
      <c r="K229" s="138">
        <v>49471560</v>
      </c>
      <c r="L229" s="129">
        <v>0.19</v>
      </c>
      <c r="M229" s="128">
        <f t="shared" si="22"/>
        <v>9399596.4000000004</v>
      </c>
      <c r="N229" s="128">
        <f t="shared" si="23"/>
        <v>58871156.399999999</v>
      </c>
      <c r="O229" s="91" t="s">
        <v>358</v>
      </c>
      <c r="P229" s="91" t="s">
        <v>359</v>
      </c>
      <c r="Q229" s="128">
        <f t="shared" si="25"/>
        <v>58871156.399999999</v>
      </c>
      <c r="R229" s="128"/>
      <c r="S229" s="128"/>
      <c r="T229" s="128"/>
      <c r="U229" s="153" t="s">
        <v>1069</v>
      </c>
      <c r="V229" s="91"/>
      <c r="W229" s="138">
        <f t="shared" si="26"/>
        <v>49471560</v>
      </c>
      <c r="X229" s="91" t="s">
        <v>1073</v>
      </c>
      <c r="Y229" s="91" t="s">
        <v>1073</v>
      </c>
      <c r="Z229" s="91" t="s">
        <v>1074</v>
      </c>
    </row>
    <row r="230" spans="1:26" ht="43" customHeight="1" x14ac:dyDescent="0.35">
      <c r="A230" s="150" t="s">
        <v>1064</v>
      </c>
      <c r="B230" s="91" t="s">
        <v>1003</v>
      </c>
      <c r="C230" s="91" t="s">
        <v>1065</v>
      </c>
      <c r="D230" s="151">
        <v>72101511</v>
      </c>
      <c r="E230" s="152" t="s">
        <v>886</v>
      </c>
      <c r="F230" s="91" t="s">
        <v>1075</v>
      </c>
      <c r="G230" s="83" t="s">
        <v>46</v>
      </c>
      <c r="H230" s="83" t="s">
        <v>46</v>
      </c>
      <c r="I230" s="100">
        <v>1</v>
      </c>
      <c r="J230" s="100" t="s">
        <v>1068</v>
      </c>
      <c r="K230" s="138">
        <v>1499483</v>
      </c>
      <c r="L230" s="129">
        <v>0.19</v>
      </c>
      <c r="M230" s="128">
        <f t="shared" si="22"/>
        <v>284901.77</v>
      </c>
      <c r="N230" s="128">
        <f t="shared" si="23"/>
        <v>1784384.77</v>
      </c>
      <c r="O230" s="91" t="s">
        <v>343</v>
      </c>
      <c r="P230" s="91" t="s">
        <v>344</v>
      </c>
      <c r="Q230" s="128">
        <f t="shared" si="25"/>
        <v>1784384.77</v>
      </c>
      <c r="R230" s="138"/>
      <c r="S230" s="138"/>
      <c r="T230" s="138"/>
      <c r="U230" s="153" t="s">
        <v>1069</v>
      </c>
      <c r="V230" s="91"/>
      <c r="W230" s="138">
        <f t="shared" si="26"/>
        <v>1499483</v>
      </c>
      <c r="X230" s="91" t="s">
        <v>882</v>
      </c>
      <c r="Y230" s="91" t="s">
        <v>883</v>
      </c>
      <c r="Z230" s="91" t="s">
        <v>889</v>
      </c>
    </row>
    <row r="231" spans="1:26" ht="43" customHeight="1" x14ac:dyDescent="0.35">
      <c r="A231" s="150" t="s">
        <v>1064</v>
      </c>
      <c r="B231" s="91" t="s">
        <v>1003</v>
      </c>
      <c r="C231" s="91" t="s">
        <v>1065</v>
      </c>
      <c r="D231" s="151">
        <v>86131502</v>
      </c>
      <c r="E231" s="152" t="s">
        <v>1076</v>
      </c>
      <c r="F231" s="91" t="s">
        <v>1077</v>
      </c>
      <c r="G231" s="83" t="s">
        <v>46</v>
      </c>
      <c r="H231" s="83" t="s">
        <v>46</v>
      </c>
      <c r="I231" s="100">
        <v>1</v>
      </c>
      <c r="J231" s="100" t="s">
        <v>350</v>
      </c>
      <c r="K231" s="138">
        <v>3000000</v>
      </c>
      <c r="L231" s="129">
        <v>0.19</v>
      </c>
      <c r="M231" s="128">
        <f t="shared" si="22"/>
        <v>570000</v>
      </c>
      <c r="N231" s="128">
        <f t="shared" si="23"/>
        <v>3570000</v>
      </c>
      <c r="O231" s="91" t="s">
        <v>343</v>
      </c>
      <c r="P231" s="91" t="s">
        <v>344</v>
      </c>
      <c r="Q231" s="128">
        <f t="shared" si="25"/>
        <v>3570000</v>
      </c>
      <c r="R231" s="128"/>
      <c r="S231" s="128"/>
      <c r="T231" s="128"/>
      <c r="U231" s="153" t="s">
        <v>1069</v>
      </c>
      <c r="V231" s="91"/>
      <c r="W231" s="138">
        <f t="shared" si="26"/>
        <v>3000000</v>
      </c>
      <c r="X231" s="91" t="s">
        <v>882</v>
      </c>
      <c r="Y231" s="91" t="s">
        <v>883</v>
      </c>
      <c r="Z231" s="91" t="s">
        <v>883</v>
      </c>
    </row>
    <row r="232" spans="1:26" ht="43" customHeight="1" x14ac:dyDescent="0.35">
      <c r="A232" s="150" t="s">
        <v>1064</v>
      </c>
      <c r="B232" s="91" t="s">
        <v>1003</v>
      </c>
      <c r="C232" s="91" t="s">
        <v>1065</v>
      </c>
      <c r="D232" s="151" t="s">
        <v>1078</v>
      </c>
      <c r="E232" s="152" t="s">
        <v>1079</v>
      </c>
      <c r="F232" s="91" t="s">
        <v>1080</v>
      </c>
      <c r="G232" s="83" t="s">
        <v>48</v>
      </c>
      <c r="H232" s="83" t="s">
        <v>48</v>
      </c>
      <c r="I232" s="100">
        <v>1</v>
      </c>
      <c r="J232" s="100" t="s">
        <v>1068</v>
      </c>
      <c r="K232" s="138">
        <v>500000</v>
      </c>
      <c r="L232" s="129">
        <v>0.19</v>
      </c>
      <c r="M232" s="128">
        <f t="shared" si="22"/>
        <v>95000</v>
      </c>
      <c r="N232" s="128">
        <f t="shared" si="23"/>
        <v>595000</v>
      </c>
      <c r="O232" s="91" t="s">
        <v>343</v>
      </c>
      <c r="P232" s="91" t="s">
        <v>344</v>
      </c>
      <c r="Q232" s="128">
        <f t="shared" si="25"/>
        <v>595000</v>
      </c>
      <c r="R232" s="128"/>
      <c r="S232" s="128"/>
      <c r="T232" s="128"/>
      <c r="U232" s="153" t="s">
        <v>1069</v>
      </c>
      <c r="V232" s="91"/>
      <c r="W232" s="138">
        <f t="shared" si="26"/>
        <v>500000</v>
      </c>
      <c r="X232" s="91" t="s">
        <v>882</v>
      </c>
      <c r="Y232" s="91" t="s">
        <v>883</v>
      </c>
      <c r="Z232" s="91" t="s">
        <v>1081</v>
      </c>
    </row>
    <row r="233" spans="1:26" ht="43" customHeight="1" x14ac:dyDescent="0.35">
      <c r="A233" s="150" t="s">
        <v>1064</v>
      </c>
      <c r="B233" s="91" t="s">
        <v>1003</v>
      </c>
      <c r="C233" s="91" t="s">
        <v>1065</v>
      </c>
      <c r="D233" s="151">
        <v>90101600</v>
      </c>
      <c r="E233" s="152" t="s">
        <v>1082</v>
      </c>
      <c r="F233" s="91" t="s">
        <v>1083</v>
      </c>
      <c r="G233" s="83" t="s">
        <v>45</v>
      </c>
      <c r="H233" s="83" t="s">
        <v>45</v>
      </c>
      <c r="I233" s="100">
        <v>1</v>
      </c>
      <c r="J233" s="100" t="s">
        <v>1068</v>
      </c>
      <c r="K233" s="128">
        <v>1639200</v>
      </c>
      <c r="L233" s="154">
        <v>0.19</v>
      </c>
      <c r="M233" s="128">
        <f>K233*L233</f>
        <v>311448</v>
      </c>
      <c r="N233" s="128">
        <f>M233+K233</f>
        <v>1950648</v>
      </c>
      <c r="O233" s="91" t="s">
        <v>343</v>
      </c>
      <c r="P233" s="91" t="s">
        <v>344</v>
      </c>
      <c r="Q233" s="128">
        <f t="shared" si="25"/>
        <v>1950648</v>
      </c>
      <c r="R233" s="128"/>
      <c r="S233" s="128"/>
      <c r="T233" s="128"/>
      <c r="U233" s="91" t="s">
        <v>1069</v>
      </c>
      <c r="V233" s="91"/>
      <c r="W233" s="98">
        <f>K233</f>
        <v>1639200</v>
      </c>
      <c r="X233" s="91" t="s">
        <v>657</v>
      </c>
      <c r="Y233" s="91" t="s">
        <v>658</v>
      </c>
      <c r="Z233" s="91" t="s">
        <v>659</v>
      </c>
    </row>
    <row r="234" spans="1:26" ht="43" customHeight="1" x14ac:dyDescent="0.35">
      <c r="A234" s="150" t="s">
        <v>1064</v>
      </c>
      <c r="B234" s="91" t="s">
        <v>1003</v>
      </c>
      <c r="C234" s="91" t="s">
        <v>1065</v>
      </c>
      <c r="D234" s="151">
        <v>80141902</v>
      </c>
      <c r="E234" s="152" t="s">
        <v>1066</v>
      </c>
      <c r="F234" s="91" t="s">
        <v>1084</v>
      </c>
      <c r="G234" s="100" t="s">
        <v>53</v>
      </c>
      <c r="H234" s="83" t="s">
        <v>53</v>
      </c>
      <c r="I234" s="100">
        <v>1</v>
      </c>
      <c r="J234" s="100" t="s">
        <v>1068</v>
      </c>
      <c r="K234" s="128">
        <v>1639200</v>
      </c>
      <c r="L234" s="154">
        <v>0.19</v>
      </c>
      <c r="M234" s="128">
        <f>K234*L234</f>
        <v>311448</v>
      </c>
      <c r="N234" s="128">
        <f>M234+K234</f>
        <v>1950648</v>
      </c>
      <c r="O234" s="91" t="s">
        <v>343</v>
      </c>
      <c r="P234" s="91" t="s">
        <v>344</v>
      </c>
      <c r="Q234" s="128">
        <f t="shared" si="25"/>
        <v>1950648</v>
      </c>
      <c r="R234" s="128"/>
      <c r="S234" s="128"/>
      <c r="T234" s="128"/>
      <c r="U234" s="91" t="s">
        <v>1069</v>
      </c>
      <c r="V234" s="91"/>
      <c r="W234" s="98">
        <f>K234</f>
        <v>1639200</v>
      </c>
      <c r="X234" s="91" t="s">
        <v>657</v>
      </c>
      <c r="Y234" s="91" t="s">
        <v>658</v>
      </c>
      <c r="Z234" s="91" t="s">
        <v>659</v>
      </c>
    </row>
    <row r="235" spans="1:26" ht="43" customHeight="1" x14ac:dyDescent="0.35">
      <c r="A235" s="150" t="s">
        <v>1064</v>
      </c>
      <c r="B235" s="91" t="s">
        <v>1003</v>
      </c>
      <c r="C235" s="91" t="s">
        <v>1085</v>
      </c>
      <c r="D235" s="151" t="s">
        <v>1086</v>
      </c>
      <c r="E235" s="91" t="s">
        <v>1066</v>
      </c>
      <c r="F235" s="91" t="s">
        <v>1087</v>
      </c>
      <c r="G235" s="83" t="s">
        <v>48</v>
      </c>
      <c r="H235" s="83" t="s">
        <v>48</v>
      </c>
      <c r="I235" s="100">
        <v>1</v>
      </c>
      <c r="J235" s="100" t="s">
        <v>350</v>
      </c>
      <c r="K235" s="128">
        <v>1800000</v>
      </c>
      <c r="L235" s="129">
        <v>0.19</v>
      </c>
      <c r="M235" s="128">
        <f>+K235*L235</f>
        <v>342000</v>
      </c>
      <c r="N235" s="128">
        <f>+K235+M235</f>
        <v>2142000</v>
      </c>
      <c r="O235" s="91" t="s">
        <v>343</v>
      </c>
      <c r="P235" s="91" t="s">
        <v>344</v>
      </c>
      <c r="Q235" s="128">
        <f t="shared" si="25"/>
        <v>2142000</v>
      </c>
      <c r="R235" s="128"/>
      <c r="S235" s="128"/>
      <c r="T235" s="128"/>
      <c r="U235" s="91" t="s">
        <v>1088</v>
      </c>
      <c r="V235" s="91"/>
      <c r="W235" s="138">
        <f t="shared" ref="W235:W256" si="27">+Q235/1.19</f>
        <v>1800000</v>
      </c>
      <c r="X235" s="104" t="s">
        <v>811</v>
      </c>
      <c r="Y235" s="104" t="s">
        <v>811</v>
      </c>
      <c r="Z235" s="104" t="s">
        <v>825</v>
      </c>
    </row>
    <row r="236" spans="1:26" ht="43" customHeight="1" x14ac:dyDescent="0.35">
      <c r="A236" s="150" t="s">
        <v>1064</v>
      </c>
      <c r="B236" s="91" t="s">
        <v>1003</v>
      </c>
      <c r="C236" s="91" t="s">
        <v>1085</v>
      </c>
      <c r="D236" s="151" t="s">
        <v>1086</v>
      </c>
      <c r="E236" s="91" t="s">
        <v>1066</v>
      </c>
      <c r="F236" s="91" t="s">
        <v>1089</v>
      </c>
      <c r="G236" s="100" t="s">
        <v>53</v>
      </c>
      <c r="H236" s="83" t="s">
        <v>53</v>
      </c>
      <c r="I236" s="100">
        <v>1</v>
      </c>
      <c r="J236" s="100" t="s">
        <v>350</v>
      </c>
      <c r="K236" s="128">
        <v>1815000</v>
      </c>
      <c r="L236" s="129">
        <v>0.19</v>
      </c>
      <c r="M236" s="128">
        <f>+K236*L236</f>
        <v>344850</v>
      </c>
      <c r="N236" s="128">
        <f>+K236+M236</f>
        <v>2159850</v>
      </c>
      <c r="O236" s="91" t="s">
        <v>343</v>
      </c>
      <c r="P236" s="91" t="s">
        <v>344</v>
      </c>
      <c r="Q236" s="128">
        <f t="shared" si="25"/>
        <v>2159850</v>
      </c>
      <c r="R236" s="128"/>
      <c r="S236" s="128"/>
      <c r="T236" s="128"/>
      <c r="U236" s="91" t="s">
        <v>1088</v>
      </c>
      <c r="V236" s="91"/>
      <c r="W236" s="138">
        <f t="shared" si="27"/>
        <v>1815000</v>
      </c>
      <c r="X236" s="104" t="s">
        <v>811</v>
      </c>
      <c r="Y236" s="104" t="s">
        <v>811</v>
      </c>
      <c r="Z236" s="104" t="s">
        <v>825</v>
      </c>
    </row>
    <row r="237" spans="1:26" ht="43" customHeight="1" x14ac:dyDescent="0.35">
      <c r="A237" s="150" t="s">
        <v>1064</v>
      </c>
      <c r="B237" s="91" t="s">
        <v>1003</v>
      </c>
      <c r="C237" s="91" t="s">
        <v>1085</v>
      </c>
      <c r="D237" s="155">
        <v>78181703</v>
      </c>
      <c r="E237" s="91" t="s">
        <v>1090</v>
      </c>
      <c r="F237" s="91" t="s">
        <v>1091</v>
      </c>
      <c r="G237" s="83" t="s">
        <v>45</v>
      </c>
      <c r="H237" s="83" t="s">
        <v>45</v>
      </c>
      <c r="I237" s="100">
        <v>8</v>
      </c>
      <c r="J237" s="100" t="s">
        <v>350</v>
      </c>
      <c r="K237" s="128">
        <v>3280899</v>
      </c>
      <c r="L237" s="129">
        <v>0.19</v>
      </c>
      <c r="M237" s="128">
        <f>+K237*L237</f>
        <v>623370.81000000006</v>
      </c>
      <c r="N237" s="128">
        <f>+K237+M237</f>
        <v>3904269.81</v>
      </c>
      <c r="O237" s="91" t="s">
        <v>343</v>
      </c>
      <c r="P237" s="91" t="s">
        <v>344</v>
      </c>
      <c r="Q237" s="128">
        <f t="shared" si="25"/>
        <v>3904269.81</v>
      </c>
      <c r="R237" s="128"/>
      <c r="S237" s="128"/>
      <c r="T237" s="128"/>
      <c r="U237" s="91" t="s">
        <v>1088</v>
      </c>
      <c r="V237" s="91" t="s">
        <v>1092</v>
      </c>
      <c r="W237" s="138">
        <f t="shared" si="27"/>
        <v>3280899</v>
      </c>
      <c r="X237" s="91" t="s">
        <v>1093</v>
      </c>
      <c r="Y237" s="91" t="s">
        <v>1094</v>
      </c>
      <c r="Z237" s="91" t="s">
        <v>1094</v>
      </c>
    </row>
    <row r="238" spans="1:26" ht="43" customHeight="1" x14ac:dyDescent="0.35">
      <c r="A238" s="150" t="s">
        <v>1064</v>
      </c>
      <c r="B238" s="91" t="s">
        <v>1003</v>
      </c>
      <c r="C238" s="91" t="s">
        <v>1085</v>
      </c>
      <c r="D238" s="151">
        <v>72101511</v>
      </c>
      <c r="E238" s="91" t="s">
        <v>886</v>
      </c>
      <c r="F238" s="91" t="s">
        <v>1095</v>
      </c>
      <c r="G238" s="83" t="s">
        <v>42</v>
      </c>
      <c r="H238" s="83" t="s">
        <v>42</v>
      </c>
      <c r="I238" s="100">
        <v>12</v>
      </c>
      <c r="J238" s="100" t="s">
        <v>350</v>
      </c>
      <c r="K238" s="128">
        <v>8400000</v>
      </c>
      <c r="L238" s="129">
        <v>0.19</v>
      </c>
      <c r="M238" s="128">
        <f>+K238*L238</f>
        <v>1596000</v>
      </c>
      <c r="N238" s="128">
        <f>+K238+M238</f>
        <v>9996000</v>
      </c>
      <c r="O238" s="91" t="s">
        <v>343</v>
      </c>
      <c r="P238" s="91" t="s">
        <v>344</v>
      </c>
      <c r="Q238" s="128">
        <f t="shared" si="25"/>
        <v>9996000</v>
      </c>
      <c r="R238" s="128"/>
      <c r="S238" s="128"/>
      <c r="T238" s="128"/>
      <c r="U238" s="91" t="s">
        <v>1088</v>
      </c>
      <c r="V238" s="91"/>
      <c r="W238" s="138">
        <f t="shared" si="27"/>
        <v>8400000</v>
      </c>
      <c r="X238" s="91" t="s">
        <v>882</v>
      </c>
      <c r="Y238" s="91" t="s">
        <v>883</v>
      </c>
      <c r="Z238" s="91" t="s">
        <v>889</v>
      </c>
    </row>
    <row r="239" spans="1:26" ht="43" customHeight="1" x14ac:dyDescent="0.35">
      <c r="A239" s="150" t="s">
        <v>1064</v>
      </c>
      <c r="B239" s="91" t="s">
        <v>1003</v>
      </c>
      <c r="C239" s="91" t="s">
        <v>1085</v>
      </c>
      <c r="D239" s="151">
        <v>90101600</v>
      </c>
      <c r="E239" s="152" t="s">
        <v>1082</v>
      </c>
      <c r="F239" s="91" t="s">
        <v>1083</v>
      </c>
      <c r="G239" s="83" t="s">
        <v>45</v>
      </c>
      <c r="H239" s="83" t="s">
        <v>45</v>
      </c>
      <c r="I239" s="100">
        <v>1</v>
      </c>
      <c r="J239" s="100" t="s">
        <v>350</v>
      </c>
      <c r="K239" s="128">
        <v>4000000</v>
      </c>
      <c r="L239" s="154">
        <v>0.19</v>
      </c>
      <c r="M239" s="128">
        <f>K239*L239</f>
        <v>760000</v>
      </c>
      <c r="N239" s="128">
        <f>M239+K239</f>
        <v>4760000</v>
      </c>
      <c r="O239" s="91" t="s">
        <v>343</v>
      </c>
      <c r="P239" s="91" t="s">
        <v>344</v>
      </c>
      <c r="Q239" s="128">
        <f t="shared" si="25"/>
        <v>4760000</v>
      </c>
      <c r="R239" s="128"/>
      <c r="S239" s="128"/>
      <c r="T239" s="128"/>
      <c r="U239" s="91" t="s">
        <v>1088</v>
      </c>
      <c r="V239" s="91"/>
      <c r="W239" s="138">
        <f t="shared" si="27"/>
        <v>4000000</v>
      </c>
      <c r="X239" s="91" t="s">
        <v>657</v>
      </c>
      <c r="Y239" s="91" t="s">
        <v>658</v>
      </c>
      <c r="Z239" s="91" t="s">
        <v>659</v>
      </c>
    </row>
    <row r="240" spans="1:26" ht="43" customHeight="1" x14ac:dyDescent="0.35">
      <c r="A240" s="150" t="s">
        <v>1064</v>
      </c>
      <c r="B240" s="91" t="s">
        <v>1003</v>
      </c>
      <c r="C240" s="91" t="s">
        <v>1085</v>
      </c>
      <c r="D240" s="151">
        <v>80141902</v>
      </c>
      <c r="E240" s="152" t="s">
        <v>1066</v>
      </c>
      <c r="F240" s="91" t="s">
        <v>1084</v>
      </c>
      <c r="G240" s="100" t="s">
        <v>53</v>
      </c>
      <c r="H240" s="83" t="s">
        <v>53</v>
      </c>
      <c r="I240" s="100">
        <v>1</v>
      </c>
      <c r="J240" s="100" t="s">
        <v>350</v>
      </c>
      <c r="K240" s="128">
        <v>4000000</v>
      </c>
      <c r="L240" s="154">
        <v>0.19</v>
      </c>
      <c r="M240" s="128">
        <f>K240*L240</f>
        <v>760000</v>
      </c>
      <c r="N240" s="128">
        <f>M240+K240</f>
        <v>4760000</v>
      </c>
      <c r="O240" s="91" t="s">
        <v>343</v>
      </c>
      <c r="P240" s="91" t="s">
        <v>344</v>
      </c>
      <c r="Q240" s="128">
        <f t="shared" si="25"/>
        <v>4760000</v>
      </c>
      <c r="R240" s="128"/>
      <c r="S240" s="128"/>
      <c r="T240" s="128"/>
      <c r="U240" s="91" t="s">
        <v>1088</v>
      </c>
      <c r="V240" s="91"/>
      <c r="W240" s="138">
        <f t="shared" si="27"/>
        <v>4000000</v>
      </c>
      <c r="X240" s="91" t="s">
        <v>657</v>
      </c>
      <c r="Y240" s="91" t="s">
        <v>658</v>
      </c>
      <c r="Z240" s="91" t="s">
        <v>659</v>
      </c>
    </row>
    <row r="241" spans="1:26" ht="43" customHeight="1" x14ac:dyDescent="0.35">
      <c r="A241" s="150" t="s">
        <v>1064</v>
      </c>
      <c r="B241" s="91" t="s">
        <v>1003</v>
      </c>
      <c r="C241" s="91" t="s">
        <v>1096</v>
      </c>
      <c r="D241" s="151">
        <v>48101909</v>
      </c>
      <c r="E241" s="152" t="s">
        <v>1097</v>
      </c>
      <c r="F241" s="91" t="s">
        <v>1098</v>
      </c>
      <c r="G241" s="83" t="s">
        <v>44</v>
      </c>
      <c r="H241" s="83" t="s">
        <v>44</v>
      </c>
      <c r="I241" s="100">
        <v>1</v>
      </c>
      <c r="J241" s="100" t="s">
        <v>1068</v>
      </c>
      <c r="K241" s="128">
        <v>600000</v>
      </c>
      <c r="L241" s="129">
        <v>0.19</v>
      </c>
      <c r="M241" s="128">
        <f t="shared" ref="M241:M254" si="28">+K241*L241</f>
        <v>114000</v>
      </c>
      <c r="N241" s="128">
        <f t="shared" ref="N241:N254" si="29">+K241+M241</f>
        <v>714000</v>
      </c>
      <c r="O241" s="91" t="s">
        <v>343</v>
      </c>
      <c r="P241" s="91" t="s">
        <v>344</v>
      </c>
      <c r="Q241" s="128">
        <f t="shared" si="25"/>
        <v>714000</v>
      </c>
      <c r="R241" s="128"/>
      <c r="S241" s="128"/>
      <c r="T241" s="128"/>
      <c r="U241" s="91" t="s">
        <v>1099</v>
      </c>
      <c r="V241" s="91"/>
      <c r="W241" s="138">
        <f t="shared" si="27"/>
        <v>600000</v>
      </c>
      <c r="X241" s="91" t="s">
        <v>861</v>
      </c>
      <c r="Y241" s="91" t="s">
        <v>861</v>
      </c>
      <c r="Z241" s="91" t="s">
        <v>861</v>
      </c>
    </row>
    <row r="242" spans="1:26" ht="43" customHeight="1" x14ac:dyDescent="0.35">
      <c r="A242" s="150" t="s">
        <v>1064</v>
      </c>
      <c r="B242" s="91" t="s">
        <v>1003</v>
      </c>
      <c r="C242" s="91" t="s">
        <v>1096</v>
      </c>
      <c r="D242" s="151">
        <v>56121400</v>
      </c>
      <c r="E242" s="152" t="s">
        <v>1100</v>
      </c>
      <c r="F242" s="91" t="s">
        <v>1101</v>
      </c>
      <c r="G242" s="83" t="s">
        <v>44</v>
      </c>
      <c r="H242" s="83" t="s">
        <v>44</v>
      </c>
      <c r="I242" s="100">
        <v>2</v>
      </c>
      <c r="J242" s="100" t="s">
        <v>350</v>
      </c>
      <c r="K242" s="128">
        <v>4000000</v>
      </c>
      <c r="L242" s="129">
        <v>0.19</v>
      </c>
      <c r="M242" s="128">
        <f t="shared" si="28"/>
        <v>760000</v>
      </c>
      <c r="N242" s="128">
        <f t="shared" si="29"/>
        <v>4760000</v>
      </c>
      <c r="O242" s="91" t="s">
        <v>343</v>
      </c>
      <c r="P242" s="91" t="s">
        <v>344</v>
      </c>
      <c r="Q242" s="128">
        <f t="shared" si="25"/>
        <v>4760000</v>
      </c>
      <c r="R242" s="128"/>
      <c r="S242" s="128"/>
      <c r="T242" s="128"/>
      <c r="U242" s="91" t="s">
        <v>1099</v>
      </c>
      <c r="V242" s="91" t="s">
        <v>1102</v>
      </c>
      <c r="W242" s="138">
        <f t="shared" si="27"/>
        <v>4000000</v>
      </c>
      <c r="X242" s="91" t="s">
        <v>1103</v>
      </c>
      <c r="Y242" s="91" t="s">
        <v>963</v>
      </c>
      <c r="Z242" s="91" t="s">
        <v>1104</v>
      </c>
    </row>
    <row r="243" spans="1:26" ht="43" customHeight="1" x14ac:dyDescent="0.35">
      <c r="A243" s="150" t="s">
        <v>1064</v>
      </c>
      <c r="B243" s="91" t="s">
        <v>1003</v>
      </c>
      <c r="C243" s="91" t="s">
        <v>1096</v>
      </c>
      <c r="D243" s="151">
        <v>90101600</v>
      </c>
      <c r="E243" s="152" t="s">
        <v>1082</v>
      </c>
      <c r="F243" s="91" t="s">
        <v>1083</v>
      </c>
      <c r="G243" s="83" t="s">
        <v>49</v>
      </c>
      <c r="H243" s="83" t="s">
        <v>49</v>
      </c>
      <c r="I243" s="100">
        <v>1</v>
      </c>
      <c r="J243" s="100" t="s">
        <v>350</v>
      </c>
      <c r="K243" s="128">
        <v>3000000</v>
      </c>
      <c r="L243" s="129">
        <v>0.19</v>
      </c>
      <c r="M243" s="128">
        <f t="shared" si="28"/>
        <v>570000</v>
      </c>
      <c r="N243" s="128">
        <f t="shared" si="29"/>
        <v>3570000</v>
      </c>
      <c r="O243" s="91" t="s">
        <v>343</v>
      </c>
      <c r="P243" s="91" t="s">
        <v>344</v>
      </c>
      <c r="Q243" s="128">
        <f t="shared" si="25"/>
        <v>3570000</v>
      </c>
      <c r="R243" s="128"/>
      <c r="S243" s="128"/>
      <c r="T243" s="128"/>
      <c r="U243" s="91" t="s">
        <v>1099</v>
      </c>
      <c r="V243" s="91"/>
      <c r="W243" s="138">
        <f t="shared" si="27"/>
        <v>3000000</v>
      </c>
      <c r="X243" s="104" t="s">
        <v>811</v>
      </c>
      <c r="Y243" s="104" t="s">
        <v>811</v>
      </c>
      <c r="Z243" s="104" t="s">
        <v>825</v>
      </c>
    </row>
    <row r="244" spans="1:26" ht="43" customHeight="1" x14ac:dyDescent="0.35">
      <c r="A244" s="150" t="s">
        <v>1064</v>
      </c>
      <c r="B244" s="91" t="s">
        <v>1003</v>
      </c>
      <c r="C244" s="91" t="s">
        <v>1096</v>
      </c>
      <c r="D244" s="151">
        <v>90101600</v>
      </c>
      <c r="E244" s="152" t="s">
        <v>1082</v>
      </c>
      <c r="F244" s="91" t="s">
        <v>1105</v>
      </c>
      <c r="G244" s="100" t="s">
        <v>53</v>
      </c>
      <c r="H244" s="83" t="s">
        <v>53</v>
      </c>
      <c r="I244" s="100">
        <v>1</v>
      </c>
      <c r="J244" s="100" t="s">
        <v>350</v>
      </c>
      <c r="K244" s="128">
        <v>3000000</v>
      </c>
      <c r="L244" s="129">
        <v>0.19</v>
      </c>
      <c r="M244" s="128">
        <f t="shared" si="28"/>
        <v>570000</v>
      </c>
      <c r="N244" s="128">
        <f t="shared" si="29"/>
        <v>3570000</v>
      </c>
      <c r="O244" s="91" t="s">
        <v>343</v>
      </c>
      <c r="P244" s="91" t="s">
        <v>344</v>
      </c>
      <c r="Q244" s="128">
        <f t="shared" si="25"/>
        <v>3570000</v>
      </c>
      <c r="R244" s="128"/>
      <c r="S244" s="128"/>
      <c r="T244" s="128"/>
      <c r="U244" s="91" t="s">
        <v>1099</v>
      </c>
      <c r="V244" s="91"/>
      <c r="W244" s="138">
        <f t="shared" si="27"/>
        <v>3000000</v>
      </c>
      <c r="X244" s="104" t="s">
        <v>811</v>
      </c>
      <c r="Y244" s="104" t="s">
        <v>811</v>
      </c>
      <c r="Z244" s="104" t="s">
        <v>825</v>
      </c>
    </row>
    <row r="245" spans="1:26" ht="43" customHeight="1" x14ac:dyDescent="0.35">
      <c r="A245" s="150" t="s">
        <v>1064</v>
      </c>
      <c r="B245" s="91" t="s">
        <v>1003</v>
      </c>
      <c r="C245" s="91" t="s">
        <v>1096</v>
      </c>
      <c r="D245" s="155">
        <v>46191601</v>
      </c>
      <c r="E245" s="152" t="s">
        <v>906</v>
      </c>
      <c r="F245" s="91" t="s">
        <v>1106</v>
      </c>
      <c r="G245" s="83" t="s">
        <v>44</v>
      </c>
      <c r="H245" s="83" t="s">
        <v>44</v>
      </c>
      <c r="I245" s="100">
        <v>1</v>
      </c>
      <c r="J245" s="100" t="s">
        <v>1068</v>
      </c>
      <c r="K245" s="128">
        <v>1200000</v>
      </c>
      <c r="L245" s="129">
        <v>0.19</v>
      </c>
      <c r="M245" s="128">
        <f t="shared" si="28"/>
        <v>228000</v>
      </c>
      <c r="N245" s="128">
        <f t="shared" si="29"/>
        <v>1428000</v>
      </c>
      <c r="O245" s="91" t="s">
        <v>343</v>
      </c>
      <c r="P245" s="91" t="s">
        <v>344</v>
      </c>
      <c r="Q245" s="128">
        <f t="shared" si="25"/>
        <v>1428000</v>
      </c>
      <c r="R245" s="128"/>
      <c r="S245" s="128"/>
      <c r="T245" s="128"/>
      <c r="U245" s="91" t="s">
        <v>1099</v>
      </c>
      <c r="V245" s="91"/>
      <c r="W245" s="138">
        <f t="shared" si="27"/>
        <v>1200000</v>
      </c>
      <c r="X245" s="91" t="s">
        <v>861</v>
      </c>
      <c r="Y245" s="91" t="s">
        <v>861</v>
      </c>
      <c r="Z245" s="91" t="s">
        <v>861</v>
      </c>
    </row>
    <row r="246" spans="1:26" ht="43" customHeight="1" x14ac:dyDescent="0.35">
      <c r="A246" s="150" t="s">
        <v>1064</v>
      </c>
      <c r="B246" s="91" t="s">
        <v>1003</v>
      </c>
      <c r="C246" s="91" t="s">
        <v>1096</v>
      </c>
      <c r="D246" s="151">
        <v>40101701</v>
      </c>
      <c r="E246" s="152" t="s">
        <v>1107</v>
      </c>
      <c r="F246" s="91" t="s">
        <v>1108</v>
      </c>
      <c r="G246" s="83" t="s">
        <v>46</v>
      </c>
      <c r="H246" s="83" t="s">
        <v>46</v>
      </c>
      <c r="I246" s="100">
        <v>2</v>
      </c>
      <c r="J246" s="100" t="s">
        <v>350</v>
      </c>
      <c r="K246" s="128">
        <v>26000000</v>
      </c>
      <c r="L246" s="129">
        <v>0.19</v>
      </c>
      <c r="M246" s="128">
        <f t="shared" si="28"/>
        <v>4940000</v>
      </c>
      <c r="N246" s="128">
        <f t="shared" si="29"/>
        <v>30940000</v>
      </c>
      <c r="O246" s="91" t="s">
        <v>343</v>
      </c>
      <c r="P246" s="91" t="s">
        <v>344</v>
      </c>
      <c r="Q246" s="128">
        <f t="shared" si="25"/>
        <v>30940000</v>
      </c>
      <c r="R246" s="128"/>
      <c r="S246" s="128"/>
      <c r="T246" s="128"/>
      <c r="U246" s="91" t="s">
        <v>1099</v>
      </c>
      <c r="V246" s="91" t="s">
        <v>1102</v>
      </c>
      <c r="W246" s="138">
        <f t="shared" si="27"/>
        <v>26000000</v>
      </c>
      <c r="X246" s="91" t="s">
        <v>1103</v>
      </c>
      <c r="Y246" s="91" t="s">
        <v>963</v>
      </c>
      <c r="Z246" s="91" t="s">
        <v>1104</v>
      </c>
    </row>
    <row r="247" spans="1:26" ht="43" customHeight="1" x14ac:dyDescent="0.35">
      <c r="A247" s="150" t="s">
        <v>1064</v>
      </c>
      <c r="B247" s="91" t="s">
        <v>1003</v>
      </c>
      <c r="C247" s="91" t="s">
        <v>1096</v>
      </c>
      <c r="D247" s="151">
        <v>72101511</v>
      </c>
      <c r="E247" s="152" t="s">
        <v>886</v>
      </c>
      <c r="F247" s="91" t="s">
        <v>1109</v>
      </c>
      <c r="G247" s="83" t="s">
        <v>46</v>
      </c>
      <c r="H247" s="83" t="s">
        <v>46</v>
      </c>
      <c r="I247" s="100">
        <v>2</v>
      </c>
      <c r="J247" s="100" t="s">
        <v>350</v>
      </c>
      <c r="K247" s="128">
        <v>5000000</v>
      </c>
      <c r="L247" s="129">
        <v>0.19</v>
      </c>
      <c r="M247" s="128">
        <f t="shared" si="28"/>
        <v>950000</v>
      </c>
      <c r="N247" s="128">
        <f t="shared" si="29"/>
        <v>5950000</v>
      </c>
      <c r="O247" s="91" t="s">
        <v>343</v>
      </c>
      <c r="P247" s="91" t="s">
        <v>344</v>
      </c>
      <c r="Q247" s="128">
        <f t="shared" si="25"/>
        <v>5950000</v>
      </c>
      <c r="R247" s="128"/>
      <c r="S247" s="128"/>
      <c r="T247" s="128"/>
      <c r="U247" s="91" t="s">
        <v>1099</v>
      </c>
      <c r="V247" s="91" t="s">
        <v>1102</v>
      </c>
      <c r="W247" s="138">
        <f t="shared" si="27"/>
        <v>5000000</v>
      </c>
      <c r="X247" s="91" t="s">
        <v>983</v>
      </c>
      <c r="Y247" s="91" t="s">
        <v>983</v>
      </c>
      <c r="Z247" s="91" t="s">
        <v>1110</v>
      </c>
    </row>
    <row r="248" spans="1:26" ht="43" customHeight="1" x14ac:dyDescent="0.35">
      <c r="A248" s="150" t="s">
        <v>1064</v>
      </c>
      <c r="B248" s="91" t="s">
        <v>1003</v>
      </c>
      <c r="C248" s="91" t="s">
        <v>1096</v>
      </c>
      <c r="D248" s="156">
        <v>30171501</v>
      </c>
      <c r="E248" s="152" t="s">
        <v>1111</v>
      </c>
      <c r="F248" s="91" t="s">
        <v>1112</v>
      </c>
      <c r="G248" s="83" t="s">
        <v>43</v>
      </c>
      <c r="H248" s="83" t="s">
        <v>43</v>
      </c>
      <c r="I248" s="100">
        <v>2</v>
      </c>
      <c r="J248" s="100" t="s">
        <v>350</v>
      </c>
      <c r="K248" s="128">
        <v>2700000</v>
      </c>
      <c r="L248" s="129">
        <v>0.19</v>
      </c>
      <c r="M248" s="128">
        <f t="shared" si="28"/>
        <v>513000</v>
      </c>
      <c r="N248" s="128">
        <f t="shared" si="29"/>
        <v>3213000</v>
      </c>
      <c r="O248" s="91" t="s">
        <v>343</v>
      </c>
      <c r="P248" s="91" t="s">
        <v>344</v>
      </c>
      <c r="Q248" s="128">
        <f t="shared" si="25"/>
        <v>3213000</v>
      </c>
      <c r="R248" s="128"/>
      <c r="S248" s="128"/>
      <c r="T248" s="128"/>
      <c r="U248" s="91" t="s">
        <v>1099</v>
      </c>
      <c r="V248" s="91"/>
      <c r="W248" s="138">
        <f t="shared" si="27"/>
        <v>2700000</v>
      </c>
      <c r="X248" s="91" t="s">
        <v>882</v>
      </c>
      <c r="Y248" s="91" t="s">
        <v>883</v>
      </c>
      <c r="Z248" s="91" t="s">
        <v>883</v>
      </c>
    </row>
    <row r="249" spans="1:26" ht="43" customHeight="1" x14ac:dyDescent="0.35">
      <c r="A249" s="150" t="s">
        <v>1064</v>
      </c>
      <c r="B249" s="91" t="s">
        <v>1003</v>
      </c>
      <c r="C249" s="91" t="s">
        <v>1096</v>
      </c>
      <c r="D249" s="151">
        <v>72154028</v>
      </c>
      <c r="E249" s="152" t="s">
        <v>1113</v>
      </c>
      <c r="F249" s="26" t="s">
        <v>1114</v>
      </c>
      <c r="G249" s="83" t="s">
        <v>48</v>
      </c>
      <c r="H249" s="83" t="s">
        <v>48</v>
      </c>
      <c r="I249" s="100">
        <v>2</v>
      </c>
      <c r="J249" s="100" t="s">
        <v>350</v>
      </c>
      <c r="K249" s="128">
        <v>10000000</v>
      </c>
      <c r="L249" s="129">
        <v>0.19</v>
      </c>
      <c r="M249" s="128">
        <f t="shared" si="28"/>
        <v>1900000</v>
      </c>
      <c r="N249" s="128">
        <f t="shared" si="29"/>
        <v>11900000</v>
      </c>
      <c r="O249" s="91" t="s">
        <v>343</v>
      </c>
      <c r="P249" s="91" t="s">
        <v>344</v>
      </c>
      <c r="Q249" s="128">
        <f t="shared" si="25"/>
        <v>11900000</v>
      </c>
      <c r="R249" s="128"/>
      <c r="S249" s="128"/>
      <c r="T249" s="128"/>
      <c r="U249" s="91" t="s">
        <v>1099</v>
      </c>
      <c r="V249" s="91"/>
      <c r="W249" s="138">
        <f t="shared" si="27"/>
        <v>10000000</v>
      </c>
      <c r="X249" s="91" t="s">
        <v>882</v>
      </c>
      <c r="Y249" s="91" t="s">
        <v>883</v>
      </c>
      <c r="Z249" s="91" t="s">
        <v>883</v>
      </c>
    </row>
    <row r="250" spans="1:26" ht="43" customHeight="1" x14ac:dyDescent="0.35">
      <c r="A250" s="150" t="s">
        <v>1064</v>
      </c>
      <c r="B250" s="91" t="s">
        <v>1003</v>
      </c>
      <c r="C250" s="91" t="s">
        <v>1096</v>
      </c>
      <c r="D250" s="151">
        <v>56112102</v>
      </c>
      <c r="E250" s="152" t="s">
        <v>1115</v>
      </c>
      <c r="F250" s="91" t="s">
        <v>1116</v>
      </c>
      <c r="G250" s="83" t="s">
        <v>43</v>
      </c>
      <c r="H250" s="83" t="s">
        <v>44</v>
      </c>
      <c r="I250" s="100">
        <v>1</v>
      </c>
      <c r="J250" s="100" t="s">
        <v>1068</v>
      </c>
      <c r="K250" s="128">
        <v>1250000</v>
      </c>
      <c r="L250" s="129">
        <v>0.19</v>
      </c>
      <c r="M250" s="128">
        <f t="shared" si="28"/>
        <v>237500</v>
      </c>
      <c r="N250" s="128">
        <f t="shared" si="29"/>
        <v>1487500</v>
      </c>
      <c r="O250" s="91" t="s">
        <v>343</v>
      </c>
      <c r="P250" s="91" t="s">
        <v>344</v>
      </c>
      <c r="Q250" s="128">
        <f t="shared" si="25"/>
        <v>1487500</v>
      </c>
      <c r="R250" s="128"/>
      <c r="S250" s="128"/>
      <c r="T250" s="128"/>
      <c r="U250" s="91" t="s">
        <v>1099</v>
      </c>
      <c r="V250" s="91" t="s">
        <v>1102</v>
      </c>
      <c r="W250" s="138">
        <f t="shared" si="27"/>
        <v>1250000</v>
      </c>
      <c r="X250" s="91" t="s">
        <v>1103</v>
      </c>
      <c r="Y250" s="91" t="s">
        <v>963</v>
      </c>
      <c r="Z250" s="91" t="s">
        <v>1104</v>
      </c>
    </row>
    <row r="251" spans="1:26" ht="43" customHeight="1" x14ac:dyDescent="0.35">
      <c r="A251" s="150" t="s">
        <v>1064</v>
      </c>
      <c r="B251" s="91" t="s">
        <v>1003</v>
      </c>
      <c r="C251" s="91" t="s">
        <v>1096</v>
      </c>
      <c r="D251" s="151">
        <v>80161801</v>
      </c>
      <c r="E251" s="152" t="s">
        <v>1117</v>
      </c>
      <c r="F251" s="91" t="s">
        <v>1118</v>
      </c>
      <c r="G251" s="83" t="s">
        <v>42</v>
      </c>
      <c r="H251" s="83" t="s">
        <v>42</v>
      </c>
      <c r="I251" s="100">
        <v>12</v>
      </c>
      <c r="J251" s="100" t="s">
        <v>350</v>
      </c>
      <c r="K251" s="128">
        <v>4000000</v>
      </c>
      <c r="L251" s="129">
        <v>0.19</v>
      </c>
      <c r="M251" s="128">
        <f t="shared" si="28"/>
        <v>760000</v>
      </c>
      <c r="N251" s="128">
        <f t="shared" si="29"/>
        <v>4760000</v>
      </c>
      <c r="O251" s="91" t="s">
        <v>343</v>
      </c>
      <c r="P251" s="91" t="s">
        <v>344</v>
      </c>
      <c r="Q251" s="128">
        <f t="shared" si="25"/>
        <v>4760000</v>
      </c>
      <c r="R251" s="128"/>
      <c r="S251" s="128"/>
      <c r="T251" s="128"/>
      <c r="U251" s="91" t="s">
        <v>1099</v>
      </c>
      <c r="V251" s="91"/>
      <c r="W251" s="138">
        <f t="shared" si="27"/>
        <v>4000000</v>
      </c>
      <c r="X251" s="91" t="s">
        <v>1119</v>
      </c>
      <c r="Y251" s="91" t="s">
        <v>1119</v>
      </c>
      <c r="Z251" s="91" t="s">
        <v>1120</v>
      </c>
    </row>
    <row r="252" spans="1:26" ht="43" customHeight="1" x14ac:dyDescent="0.35">
      <c r="A252" s="150" t="s">
        <v>1064</v>
      </c>
      <c r="B252" s="91" t="s">
        <v>1003</v>
      </c>
      <c r="C252" s="91" t="s">
        <v>1096</v>
      </c>
      <c r="D252" s="151">
        <v>72153613</v>
      </c>
      <c r="E252" s="152" t="s">
        <v>1121</v>
      </c>
      <c r="F252" s="91" t="s">
        <v>1122</v>
      </c>
      <c r="G252" s="83" t="s">
        <v>44</v>
      </c>
      <c r="H252" s="83" t="s">
        <v>44</v>
      </c>
      <c r="I252" s="100">
        <v>1</v>
      </c>
      <c r="J252" s="100" t="s">
        <v>1068</v>
      </c>
      <c r="K252" s="128">
        <v>600000</v>
      </c>
      <c r="L252" s="129">
        <v>0.19</v>
      </c>
      <c r="M252" s="128">
        <f t="shared" si="28"/>
        <v>114000</v>
      </c>
      <c r="N252" s="128">
        <f t="shared" si="29"/>
        <v>714000</v>
      </c>
      <c r="O252" s="91" t="s">
        <v>343</v>
      </c>
      <c r="P252" s="91" t="s">
        <v>344</v>
      </c>
      <c r="Q252" s="128">
        <f t="shared" si="25"/>
        <v>714000</v>
      </c>
      <c r="R252" s="128"/>
      <c r="S252" s="128"/>
      <c r="T252" s="128"/>
      <c r="U252" s="91" t="s">
        <v>1099</v>
      </c>
      <c r="V252" s="91"/>
      <c r="W252" s="138">
        <f t="shared" si="27"/>
        <v>600000</v>
      </c>
      <c r="X252" s="91" t="s">
        <v>882</v>
      </c>
      <c r="Y252" s="91" t="s">
        <v>1123</v>
      </c>
      <c r="Z252" s="91" t="s">
        <v>1124</v>
      </c>
    </row>
    <row r="253" spans="1:26" ht="43" customHeight="1" x14ac:dyDescent="0.35">
      <c r="A253" s="150" t="s">
        <v>1064</v>
      </c>
      <c r="B253" s="91" t="s">
        <v>1003</v>
      </c>
      <c r="C253" s="91" t="s">
        <v>1096</v>
      </c>
      <c r="D253" s="151">
        <v>72101511</v>
      </c>
      <c r="E253" s="152" t="s">
        <v>886</v>
      </c>
      <c r="F253" s="91" t="s">
        <v>1125</v>
      </c>
      <c r="G253" s="83" t="s">
        <v>42</v>
      </c>
      <c r="H253" s="83" t="s">
        <v>42</v>
      </c>
      <c r="I253" s="100">
        <v>12</v>
      </c>
      <c r="J253" s="100" t="s">
        <v>350</v>
      </c>
      <c r="K253" s="128">
        <v>10259000</v>
      </c>
      <c r="L253" s="129">
        <v>0.19</v>
      </c>
      <c r="M253" s="128">
        <f t="shared" si="28"/>
        <v>1949210</v>
      </c>
      <c r="N253" s="128">
        <f t="shared" si="29"/>
        <v>12208210</v>
      </c>
      <c r="O253" s="91" t="s">
        <v>343</v>
      </c>
      <c r="P253" s="91" t="s">
        <v>344</v>
      </c>
      <c r="Q253" s="128">
        <f t="shared" si="25"/>
        <v>12208210</v>
      </c>
      <c r="R253" s="128"/>
      <c r="S253" s="128"/>
      <c r="T253" s="128"/>
      <c r="U253" s="91" t="s">
        <v>1099</v>
      </c>
      <c r="V253" s="91"/>
      <c r="W253" s="138">
        <f t="shared" si="27"/>
        <v>10259000</v>
      </c>
      <c r="X253" s="91" t="s">
        <v>882</v>
      </c>
      <c r="Y253" s="91" t="s">
        <v>883</v>
      </c>
      <c r="Z253" s="91" t="s">
        <v>889</v>
      </c>
    </row>
    <row r="254" spans="1:26" ht="43" customHeight="1" x14ac:dyDescent="0.35">
      <c r="A254" s="150" t="s">
        <v>1064</v>
      </c>
      <c r="B254" s="91" t="s">
        <v>1003</v>
      </c>
      <c r="C254" s="91" t="s">
        <v>1096</v>
      </c>
      <c r="D254" s="151">
        <v>72101516</v>
      </c>
      <c r="E254" s="152" t="s">
        <v>1079</v>
      </c>
      <c r="F254" s="91" t="s">
        <v>1126</v>
      </c>
      <c r="G254" s="83" t="s">
        <v>43</v>
      </c>
      <c r="H254" s="83" t="s">
        <v>43</v>
      </c>
      <c r="I254" s="100">
        <v>1</v>
      </c>
      <c r="J254" s="100" t="s">
        <v>1068</v>
      </c>
      <c r="K254" s="128">
        <v>886210</v>
      </c>
      <c r="L254" s="129">
        <v>0.19</v>
      </c>
      <c r="M254" s="128">
        <f t="shared" si="28"/>
        <v>168379.9</v>
      </c>
      <c r="N254" s="128">
        <f t="shared" si="29"/>
        <v>1054589.8999999999</v>
      </c>
      <c r="O254" s="91" t="s">
        <v>343</v>
      </c>
      <c r="P254" s="91" t="s">
        <v>344</v>
      </c>
      <c r="Q254" s="128">
        <f t="shared" si="25"/>
        <v>1054589.8999999999</v>
      </c>
      <c r="R254" s="128"/>
      <c r="S254" s="128"/>
      <c r="T254" s="128"/>
      <c r="U254" s="91" t="s">
        <v>1099</v>
      </c>
      <c r="V254" s="91"/>
      <c r="W254" s="138">
        <f t="shared" si="27"/>
        <v>886210</v>
      </c>
      <c r="X254" s="91" t="s">
        <v>882</v>
      </c>
      <c r="Y254" s="91" t="s">
        <v>883</v>
      </c>
      <c r="Z254" s="91" t="s">
        <v>1081</v>
      </c>
    </row>
    <row r="255" spans="1:26" ht="43" customHeight="1" x14ac:dyDescent="0.35">
      <c r="A255" s="150" t="s">
        <v>1064</v>
      </c>
      <c r="B255" s="91" t="s">
        <v>1003</v>
      </c>
      <c r="C255" s="91" t="s">
        <v>1096</v>
      </c>
      <c r="D255" s="151">
        <v>90101600</v>
      </c>
      <c r="E255" s="152" t="s">
        <v>1082</v>
      </c>
      <c r="F255" s="91" t="s">
        <v>1083</v>
      </c>
      <c r="G255" s="83" t="s">
        <v>45</v>
      </c>
      <c r="H255" s="83" t="s">
        <v>45</v>
      </c>
      <c r="I255" s="100">
        <v>1</v>
      </c>
      <c r="J255" s="100" t="s">
        <v>350</v>
      </c>
      <c r="K255" s="128">
        <v>10000000</v>
      </c>
      <c r="L255" s="154">
        <v>0.19</v>
      </c>
      <c r="M255" s="128">
        <f>K255*L255</f>
        <v>1900000</v>
      </c>
      <c r="N255" s="128">
        <f>M255+K255</f>
        <v>11900000</v>
      </c>
      <c r="O255" s="91" t="s">
        <v>343</v>
      </c>
      <c r="P255" s="91" t="s">
        <v>344</v>
      </c>
      <c r="Q255" s="128">
        <f t="shared" si="25"/>
        <v>11900000</v>
      </c>
      <c r="R255" s="128"/>
      <c r="S255" s="128"/>
      <c r="T255" s="128"/>
      <c r="U255" s="91" t="s">
        <v>1099</v>
      </c>
      <c r="V255" s="91"/>
      <c r="W255" s="138">
        <f t="shared" si="27"/>
        <v>10000000</v>
      </c>
      <c r="X255" s="91" t="s">
        <v>657</v>
      </c>
      <c r="Y255" s="91" t="s">
        <v>658</v>
      </c>
      <c r="Z255" s="91" t="s">
        <v>659</v>
      </c>
    </row>
    <row r="256" spans="1:26" ht="43" customHeight="1" x14ac:dyDescent="0.35">
      <c r="A256" s="150" t="s">
        <v>1064</v>
      </c>
      <c r="B256" s="91" t="s">
        <v>1003</v>
      </c>
      <c r="C256" s="91" t="s">
        <v>1096</v>
      </c>
      <c r="D256" s="151">
        <v>80141902</v>
      </c>
      <c r="E256" s="152" t="s">
        <v>1066</v>
      </c>
      <c r="F256" s="91" t="s">
        <v>1084</v>
      </c>
      <c r="G256" s="100" t="s">
        <v>53</v>
      </c>
      <c r="H256" s="83" t="s">
        <v>53</v>
      </c>
      <c r="I256" s="100">
        <v>1</v>
      </c>
      <c r="J256" s="100" t="s">
        <v>350</v>
      </c>
      <c r="K256" s="128">
        <v>10000000</v>
      </c>
      <c r="L256" s="154">
        <v>0.19</v>
      </c>
      <c r="M256" s="128">
        <f>K256*L256</f>
        <v>1900000</v>
      </c>
      <c r="N256" s="128">
        <f>M256+K256</f>
        <v>11900000</v>
      </c>
      <c r="O256" s="91" t="s">
        <v>343</v>
      </c>
      <c r="P256" s="91" t="s">
        <v>344</v>
      </c>
      <c r="Q256" s="128">
        <f t="shared" si="25"/>
        <v>11900000</v>
      </c>
      <c r="R256" s="128"/>
      <c r="S256" s="128"/>
      <c r="T256" s="128"/>
      <c r="U256" s="91" t="s">
        <v>1099</v>
      </c>
      <c r="V256" s="91"/>
      <c r="W256" s="138">
        <f t="shared" si="27"/>
        <v>10000000</v>
      </c>
      <c r="X256" s="91" t="s">
        <v>657</v>
      </c>
      <c r="Y256" s="91" t="s">
        <v>658</v>
      </c>
      <c r="Z256" s="91" t="s">
        <v>659</v>
      </c>
    </row>
    <row r="257" spans="1:26" ht="43" customHeight="1" x14ac:dyDescent="0.35">
      <c r="A257" s="150" t="s">
        <v>1064</v>
      </c>
      <c r="B257" s="91" t="s">
        <v>1003</v>
      </c>
      <c r="C257" s="91" t="s">
        <v>1127</v>
      </c>
      <c r="D257" s="151">
        <v>82121507</v>
      </c>
      <c r="E257" s="152" t="s">
        <v>1128</v>
      </c>
      <c r="F257" s="91" t="s">
        <v>1129</v>
      </c>
      <c r="G257" s="83" t="s">
        <v>46</v>
      </c>
      <c r="H257" s="83" t="s">
        <v>47</v>
      </c>
      <c r="I257" s="100">
        <v>2</v>
      </c>
      <c r="J257" s="100" t="s">
        <v>350</v>
      </c>
      <c r="K257" s="138">
        <v>3000000</v>
      </c>
      <c r="L257" s="129">
        <v>0</v>
      </c>
      <c r="M257" s="128">
        <f>+K257*L257</f>
        <v>0</v>
      </c>
      <c r="N257" s="128">
        <f>+K257+M257</f>
        <v>3000000</v>
      </c>
      <c r="O257" s="91" t="s">
        <v>343</v>
      </c>
      <c r="P257" s="91" t="s">
        <v>344</v>
      </c>
      <c r="Q257" s="128">
        <f t="shared" si="25"/>
        <v>3000000</v>
      </c>
      <c r="R257" s="98"/>
      <c r="S257" s="98"/>
      <c r="T257" s="98"/>
      <c r="U257" s="26" t="s">
        <v>1130</v>
      </c>
      <c r="V257" s="26"/>
      <c r="W257" s="138">
        <v>3000000</v>
      </c>
      <c r="X257" s="91" t="s">
        <v>707</v>
      </c>
      <c r="Y257" s="91" t="s">
        <v>707</v>
      </c>
      <c r="Z257" s="91" t="s">
        <v>1131</v>
      </c>
    </row>
    <row r="258" spans="1:26" ht="43" customHeight="1" x14ac:dyDescent="0.35">
      <c r="A258" s="150" t="s">
        <v>1064</v>
      </c>
      <c r="B258" s="91" t="s">
        <v>1003</v>
      </c>
      <c r="C258" s="91" t="s">
        <v>1127</v>
      </c>
      <c r="D258" s="151">
        <v>80141902</v>
      </c>
      <c r="E258" s="91" t="s">
        <v>1066</v>
      </c>
      <c r="F258" s="91" t="s">
        <v>1132</v>
      </c>
      <c r="G258" s="100" t="s">
        <v>53</v>
      </c>
      <c r="H258" s="83" t="s">
        <v>53</v>
      </c>
      <c r="I258" s="100">
        <v>1</v>
      </c>
      <c r="J258" s="100" t="s">
        <v>1068</v>
      </c>
      <c r="K258" s="138">
        <v>558235</v>
      </c>
      <c r="L258" s="129">
        <v>0.19</v>
      </c>
      <c r="M258" s="128">
        <f>+K258*L258</f>
        <v>106064.65</v>
      </c>
      <c r="N258" s="128">
        <f>+K258+M258</f>
        <v>664299.65</v>
      </c>
      <c r="O258" s="91" t="s">
        <v>343</v>
      </c>
      <c r="P258" s="91" t="s">
        <v>344</v>
      </c>
      <c r="Q258" s="128">
        <f t="shared" si="25"/>
        <v>664299.65</v>
      </c>
      <c r="R258" s="98"/>
      <c r="S258" s="98"/>
      <c r="T258" s="98"/>
      <c r="U258" s="91" t="s">
        <v>1133</v>
      </c>
      <c r="V258" s="26"/>
      <c r="W258" s="138">
        <f t="shared" ref="W258:W306" si="30">+Q258/1.19</f>
        <v>558235</v>
      </c>
      <c r="X258" s="104" t="s">
        <v>811</v>
      </c>
      <c r="Y258" s="104" t="s">
        <v>811</v>
      </c>
      <c r="Z258" s="104" t="s">
        <v>825</v>
      </c>
    </row>
    <row r="259" spans="1:26" ht="43" customHeight="1" x14ac:dyDescent="0.35">
      <c r="A259" s="150" t="s">
        <v>1064</v>
      </c>
      <c r="B259" s="91" t="s">
        <v>1003</v>
      </c>
      <c r="C259" s="91" t="s">
        <v>1127</v>
      </c>
      <c r="D259" s="151">
        <v>30171501</v>
      </c>
      <c r="E259" s="91" t="s">
        <v>1111</v>
      </c>
      <c r="F259" s="91" t="s">
        <v>1134</v>
      </c>
      <c r="G259" s="83" t="s">
        <v>46</v>
      </c>
      <c r="H259" s="83" t="s">
        <v>46</v>
      </c>
      <c r="I259" s="100">
        <v>1</v>
      </c>
      <c r="J259" s="100" t="s">
        <v>350</v>
      </c>
      <c r="K259" s="138">
        <v>3168067</v>
      </c>
      <c r="L259" s="129">
        <v>0.19</v>
      </c>
      <c r="M259" s="128">
        <f>+K259*L259</f>
        <v>601932.73</v>
      </c>
      <c r="N259" s="128">
        <f>+K259+M259</f>
        <v>3769999.73</v>
      </c>
      <c r="O259" s="91" t="s">
        <v>343</v>
      </c>
      <c r="P259" s="91" t="s">
        <v>344</v>
      </c>
      <c r="Q259" s="128">
        <f t="shared" si="25"/>
        <v>3769999.73</v>
      </c>
      <c r="R259" s="98"/>
      <c r="S259" s="98"/>
      <c r="T259" s="98"/>
      <c r="U259" s="91" t="s">
        <v>1133</v>
      </c>
      <c r="V259" s="26"/>
      <c r="W259" s="138">
        <f t="shared" si="30"/>
        <v>3168067</v>
      </c>
      <c r="X259" s="91" t="s">
        <v>882</v>
      </c>
      <c r="Y259" s="91" t="s">
        <v>883</v>
      </c>
      <c r="Z259" s="91" t="s">
        <v>883</v>
      </c>
    </row>
    <row r="260" spans="1:26" ht="43" customHeight="1" x14ac:dyDescent="0.35">
      <c r="A260" s="150" t="s">
        <v>1064</v>
      </c>
      <c r="B260" s="91" t="s">
        <v>1003</v>
      </c>
      <c r="C260" s="91" t="s">
        <v>1127</v>
      </c>
      <c r="D260" s="151">
        <v>72101511</v>
      </c>
      <c r="E260" s="91" t="s">
        <v>886</v>
      </c>
      <c r="F260" s="91" t="s">
        <v>1135</v>
      </c>
      <c r="G260" s="83" t="s">
        <v>44</v>
      </c>
      <c r="H260" s="83" t="s">
        <v>44</v>
      </c>
      <c r="I260" s="100">
        <v>12</v>
      </c>
      <c r="J260" s="100" t="s">
        <v>350</v>
      </c>
      <c r="K260" s="138">
        <v>2514286</v>
      </c>
      <c r="L260" s="129">
        <v>0.19</v>
      </c>
      <c r="M260" s="128">
        <f>+K260*L260</f>
        <v>477714.34</v>
      </c>
      <c r="N260" s="128">
        <f>+K260+M260</f>
        <v>2992000.34</v>
      </c>
      <c r="O260" s="91" t="s">
        <v>343</v>
      </c>
      <c r="P260" s="91" t="s">
        <v>344</v>
      </c>
      <c r="Q260" s="128">
        <f t="shared" si="25"/>
        <v>2992000.34</v>
      </c>
      <c r="R260" s="98"/>
      <c r="S260" s="98"/>
      <c r="T260" s="98"/>
      <c r="U260" s="91" t="s">
        <v>1133</v>
      </c>
      <c r="V260" s="91" t="s">
        <v>1136</v>
      </c>
      <c r="W260" s="138">
        <f t="shared" si="30"/>
        <v>2514286</v>
      </c>
      <c r="X260" s="91" t="s">
        <v>882</v>
      </c>
      <c r="Y260" s="91" t="s">
        <v>883</v>
      </c>
      <c r="Z260" s="91" t="s">
        <v>889</v>
      </c>
    </row>
    <row r="261" spans="1:26" ht="43" customHeight="1" x14ac:dyDescent="0.35">
      <c r="A261" s="150" t="s">
        <v>1064</v>
      </c>
      <c r="B261" s="91" t="s">
        <v>1003</v>
      </c>
      <c r="C261" s="91" t="s">
        <v>1127</v>
      </c>
      <c r="D261" s="151">
        <v>90101600</v>
      </c>
      <c r="E261" s="91" t="s">
        <v>1082</v>
      </c>
      <c r="F261" s="91" t="s">
        <v>1083</v>
      </c>
      <c r="G261" s="83" t="s">
        <v>45</v>
      </c>
      <c r="H261" s="83" t="s">
        <v>45</v>
      </c>
      <c r="I261" s="100">
        <v>1</v>
      </c>
      <c r="J261" s="100" t="s">
        <v>350</v>
      </c>
      <c r="K261" s="128">
        <v>2600000</v>
      </c>
      <c r="L261" s="154">
        <v>0.19</v>
      </c>
      <c r="M261" s="128">
        <f>K261*L261</f>
        <v>494000</v>
      </c>
      <c r="N261" s="128">
        <f>M261+K261</f>
        <v>3094000</v>
      </c>
      <c r="O261" s="91" t="s">
        <v>343</v>
      </c>
      <c r="P261" s="91" t="s">
        <v>344</v>
      </c>
      <c r="Q261" s="128">
        <f t="shared" si="25"/>
        <v>3094000</v>
      </c>
      <c r="R261" s="128"/>
      <c r="S261" s="128"/>
      <c r="T261" s="128"/>
      <c r="U261" s="91" t="s">
        <v>1130</v>
      </c>
      <c r="V261" s="91"/>
      <c r="W261" s="138">
        <f t="shared" si="30"/>
        <v>2600000</v>
      </c>
      <c r="X261" s="91" t="s">
        <v>657</v>
      </c>
      <c r="Y261" s="91" t="s">
        <v>658</v>
      </c>
      <c r="Z261" s="91" t="s">
        <v>659</v>
      </c>
    </row>
    <row r="262" spans="1:26" ht="43" customHeight="1" x14ac:dyDescent="0.35">
      <c r="A262" s="150" t="s">
        <v>1064</v>
      </c>
      <c r="B262" s="91" t="s">
        <v>1003</v>
      </c>
      <c r="C262" s="91" t="s">
        <v>1127</v>
      </c>
      <c r="D262" s="151">
        <v>80141902</v>
      </c>
      <c r="E262" s="91" t="s">
        <v>1066</v>
      </c>
      <c r="F262" s="91" t="s">
        <v>1084</v>
      </c>
      <c r="G262" s="100" t="s">
        <v>53</v>
      </c>
      <c r="H262" s="83" t="s">
        <v>53</v>
      </c>
      <c r="I262" s="100">
        <v>1</v>
      </c>
      <c r="J262" s="100" t="s">
        <v>350</v>
      </c>
      <c r="K262" s="128">
        <v>2600000</v>
      </c>
      <c r="L262" s="154">
        <v>0.19</v>
      </c>
      <c r="M262" s="128">
        <f>K262*L262</f>
        <v>494000</v>
      </c>
      <c r="N262" s="128">
        <f>M262+K262</f>
        <v>3094000</v>
      </c>
      <c r="O262" s="91" t="s">
        <v>343</v>
      </c>
      <c r="P262" s="91" t="s">
        <v>344</v>
      </c>
      <c r="Q262" s="128">
        <f t="shared" si="25"/>
        <v>3094000</v>
      </c>
      <c r="R262" s="128"/>
      <c r="S262" s="128"/>
      <c r="T262" s="128"/>
      <c r="U262" s="91" t="s">
        <v>1130</v>
      </c>
      <c r="V262" s="91"/>
      <c r="W262" s="138">
        <f t="shared" si="30"/>
        <v>2600000</v>
      </c>
      <c r="X262" s="91" t="s">
        <v>657</v>
      </c>
      <c r="Y262" s="91" t="s">
        <v>658</v>
      </c>
      <c r="Z262" s="91" t="s">
        <v>659</v>
      </c>
    </row>
    <row r="263" spans="1:26" ht="43" customHeight="1" x14ac:dyDescent="0.35">
      <c r="A263" s="150" t="s">
        <v>1064</v>
      </c>
      <c r="B263" s="91" t="s">
        <v>1003</v>
      </c>
      <c r="C263" s="91" t="s">
        <v>1137</v>
      </c>
      <c r="D263" s="151">
        <v>72154066</v>
      </c>
      <c r="E263" s="91" t="s">
        <v>1138</v>
      </c>
      <c r="F263" s="91" t="s">
        <v>1139</v>
      </c>
      <c r="G263" s="83" t="s">
        <v>45</v>
      </c>
      <c r="H263" s="83" t="s">
        <v>46</v>
      </c>
      <c r="I263" s="100">
        <v>1</v>
      </c>
      <c r="J263" s="100" t="s">
        <v>350</v>
      </c>
      <c r="K263" s="128">
        <v>1800000</v>
      </c>
      <c r="L263" s="129">
        <v>0.19</v>
      </c>
      <c r="M263" s="128">
        <f t="shared" ref="M263:M268" si="31">+K263*L263</f>
        <v>342000</v>
      </c>
      <c r="N263" s="128">
        <f t="shared" ref="N263:N268" si="32">+K263+M263</f>
        <v>2142000</v>
      </c>
      <c r="O263" s="91" t="s">
        <v>343</v>
      </c>
      <c r="P263" s="91" t="s">
        <v>344</v>
      </c>
      <c r="Q263" s="128">
        <f t="shared" si="25"/>
        <v>2142000</v>
      </c>
      <c r="R263" s="128"/>
      <c r="S263" s="128"/>
      <c r="T263" s="128"/>
      <c r="U263" s="91" t="s">
        <v>1140</v>
      </c>
      <c r="V263" s="91"/>
      <c r="W263" s="138">
        <f t="shared" si="30"/>
        <v>1800000</v>
      </c>
      <c r="X263" s="91" t="s">
        <v>882</v>
      </c>
      <c r="Y263" s="91" t="s">
        <v>1123</v>
      </c>
      <c r="Z263" s="91" t="s">
        <v>1124</v>
      </c>
    </row>
    <row r="264" spans="1:26" ht="43" customHeight="1" x14ac:dyDescent="0.35">
      <c r="A264" s="150" t="s">
        <v>1064</v>
      </c>
      <c r="B264" s="91" t="s">
        <v>1003</v>
      </c>
      <c r="C264" s="91" t="s">
        <v>1137</v>
      </c>
      <c r="D264" s="151">
        <v>52161505</v>
      </c>
      <c r="E264" s="91" t="s">
        <v>1141</v>
      </c>
      <c r="F264" s="91" t="s">
        <v>1142</v>
      </c>
      <c r="G264" s="83" t="s">
        <v>46</v>
      </c>
      <c r="H264" s="83" t="s">
        <v>46</v>
      </c>
      <c r="I264" s="100">
        <v>1</v>
      </c>
      <c r="J264" s="100" t="s">
        <v>350</v>
      </c>
      <c r="K264" s="128">
        <v>3000000</v>
      </c>
      <c r="L264" s="129">
        <v>0.19</v>
      </c>
      <c r="M264" s="128">
        <f t="shared" si="31"/>
        <v>570000</v>
      </c>
      <c r="N264" s="128">
        <f t="shared" si="32"/>
        <v>3570000</v>
      </c>
      <c r="O264" s="91" t="s">
        <v>343</v>
      </c>
      <c r="P264" s="91" t="s">
        <v>344</v>
      </c>
      <c r="Q264" s="128">
        <f t="shared" si="25"/>
        <v>3570000</v>
      </c>
      <c r="R264" s="128"/>
      <c r="S264" s="128"/>
      <c r="T264" s="128"/>
      <c r="U264" s="91" t="s">
        <v>1140</v>
      </c>
      <c r="V264" s="91" t="s">
        <v>1102</v>
      </c>
      <c r="W264" s="138">
        <f t="shared" si="30"/>
        <v>3000000</v>
      </c>
      <c r="X264" s="91" t="s">
        <v>1103</v>
      </c>
      <c r="Y264" s="91" t="s">
        <v>963</v>
      </c>
      <c r="Z264" s="91" t="s">
        <v>1104</v>
      </c>
    </row>
    <row r="265" spans="1:26" ht="43" customHeight="1" x14ac:dyDescent="0.35">
      <c r="A265" s="150" t="s">
        <v>1064</v>
      </c>
      <c r="B265" s="91" t="s">
        <v>1003</v>
      </c>
      <c r="C265" s="91" t="s">
        <v>1137</v>
      </c>
      <c r="D265" s="151">
        <v>78181703</v>
      </c>
      <c r="E265" s="91" t="s">
        <v>1090</v>
      </c>
      <c r="F265" s="91" t="s">
        <v>1143</v>
      </c>
      <c r="G265" s="83" t="s">
        <v>42</v>
      </c>
      <c r="H265" s="83" t="s">
        <v>42</v>
      </c>
      <c r="I265" s="100">
        <v>12</v>
      </c>
      <c r="J265" s="100" t="s">
        <v>350</v>
      </c>
      <c r="K265" s="128">
        <v>22146067</v>
      </c>
      <c r="L265" s="129">
        <v>0.19</v>
      </c>
      <c r="M265" s="128">
        <f t="shared" si="31"/>
        <v>4207752.7300000004</v>
      </c>
      <c r="N265" s="128">
        <f t="shared" si="32"/>
        <v>26353819.73</v>
      </c>
      <c r="O265" s="91" t="s">
        <v>343</v>
      </c>
      <c r="P265" s="91" t="s">
        <v>344</v>
      </c>
      <c r="Q265" s="128">
        <f t="shared" si="25"/>
        <v>26353819.73</v>
      </c>
      <c r="R265" s="128"/>
      <c r="S265" s="128"/>
      <c r="T265" s="128"/>
      <c r="U265" s="91" t="s">
        <v>1140</v>
      </c>
      <c r="V265" s="91" t="s">
        <v>1092</v>
      </c>
      <c r="W265" s="138">
        <f t="shared" si="30"/>
        <v>22146067</v>
      </c>
      <c r="X265" s="91" t="s">
        <v>1093</v>
      </c>
      <c r="Y265" s="91" t="s">
        <v>1094</v>
      </c>
      <c r="Z265" s="91" t="s">
        <v>1094</v>
      </c>
    </row>
    <row r="266" spans="1:26" ht="43" customHeight="1" x14ac:dyDescent="0.35">
      <c r="A266" s="150" t="s">
        <v>1064</v>
      </c>
      <c r="B266" s="91" t="s">
        <v>1003</v>
      </c>
      <c r="C266" s="91" t="s">
        <v>1137</v>
      </c>
      <c r="D266" s="151">
        <v>80141902</v>
      </c>
      <c r="E266" s="91" t="s">
        <v>1066</v>
      </c>
      <c r="F266" s="91" t="s">
        <v>1144</v>
      </c>
      <c r="G266" s="83" t="s">
        <v>52</v>
      </c>
      <c r="H266" s="83" t="s">
        <v>53</v>
      </c>
      <c r="I266" s="100">
        <v>1</v>
      </c>
      <c r="J266" s="100" t="s">
        <v>350</v>
      </c>
      <c r="K266" s="128">
        <v>6300000</v>
      </c>
      <c r="L266" s="129">
        <v>0.19</v>
      </c>
      <c r="M266" s="128">
        <f t="shared" si="31"/>
        <v>1197000</v>
      </c>
      <c r="N266" s="128">
        <f t="shared" si="32"/>
        <v>7497000</v>
      </c>
      <c r="O266" s="91" t="s">
        <v>343</v>
      </c>
      <c r="P266" s="91" t="s">
        <v>344</v>
      </c>
      <c r="Q266" s="128">
        <f t="shared" si="25"/>
        <v>7497000</v>
      </c>
      <c r="R266" s="128"/>
      <c r="S266" s="128"/>
      <c r="T266" s="128"/>
      <c r="U266" s="91" t="s">
        <v>1140</v>
      </c>
      <c r="V266" s="91"/>
      <c r="W266" s="138">
        <f t="shared" si="30"/>
        <v>6300000</v>
      </c>
      <c r="X266" s="104" t="s">
        <v>811</v>
      </c>
      <c r="Y266" s="104" t="s">
        <v>811</v>
      </c>
      <c r="Z266" s="104" t="s">
        <v>825</v>
      </c>
    </row>
    <row r="267" spans="1:26" ht="43" customHeight="1" x14ac:dyDescent="0.35">
      <c r="A267" s="150" t="s">
        <v>1064</v>
      </c>
      <c r="B267" s="91" t="s">
        <v>1003</v>
      </c>
      <c r="C267" s="91" t="s">
        <v>1137</v>
      </c>
      <c r="D267" s="151">
        <v>72101511</v>
      </c>
      <c r="E267" s="91" t="s">
        <v>886</v>
      </c>
      <c r="F267" s="91" t="s">
        <v>1145</v>
      </c>
      <c r="G267" s="83" t="s">
        <v>43</v>
      </c>
      <c r="H267" s="83" t="s">
        <v>43</v>
      </c>
      <c r="I267" s="100">
        <v>11</v>
      </c>
      <c r="J267" s="100" t="s">
        <v>350</v>
      </c>
      <c r="K267" s="128">
        <v>6000000</v>
      </c>
      <c r="L267" s="129">
        <v>0.19</v>
      </c>
      <c r="M267" s="128">
        <f t="shared" si="31"/>
        <v>1140000</v>
      </c>
      <c r="N267" s="128">
        <f t="shared" si="32"/>
        <v>7140000</v>
      </c>
      <c r="O267" s="91" t="s">
        <v>343</v>
      </c>
      <c r="P267" s="91" t="s">
        <v>344</v>
      </c>
      <c r="Q267" s="128">
        <f t="shared" si="25"/>
        <v>7140000</v>
      </c>
      <c r="R267" s="128"/>
      <c r="S267" s="128"/>
      <c r="T267" s="128"/>
      <c r="U267" s="91" t="s">
        <v>1140</v>
      </c>
      <c r="V267" s="91"/>
      <c r="W267" s="138">
        <f t="shared" si="30"/>
        <v>6000000</v>
      </c>
      <c r="X267" s="91" t="s">
        <v>882</v>
      </c>
      <c r="Y267" s="91" t="s">
        <v>883</v>
      </c>
      <c r="Z267" s="91" t="s">
        <v>889</v>
      </c>
    </row>
    <row r="268" spans="1:26" ht="43" customHeight="1" x14ac:dyDescent="0.35">
      <c r="A268" s="150" t="s">
        <v>1064</v>
      </c>
      <c r="B268" s="91" t="s">
        <v>1003</v>
      </c>
      <c r="C268" s="91" t="s">
        <v>1137</v>
      </c>
      <c r="D268" s="151" t="s">
        <v>1146</v>
      </c>
      <c r="E268" s="91" t="s">
        <v>1097</v>
      </c>
      <c r="F268" s="91" t="s">
        <v>1147</v>
      </c>
      <c r="G268" s="83" t="s">
        <v>47</v>
      </c>
      <c r="H268" s="83" t="s">
        <v>48</v>
      </c>
      <c r="I268" s="100">
        <v>1</v>
      </c>
      <c r="J268" s="100" t="s">
        <v>1068</v>
      </c>
      <c r="K268" s="128">
        <v>1000000</v>
      </c>
      <c r="L268" s="129">
        <v>0.19</v>
      </c>
      <c r="M268" s="128">
        <f t="shared" si="31"/>
        <v>190000</v>
      </c>
      <c r="N268" s="128">
        <f t="shared" si="32"/>
        <v>1190000</v>
      </c>
      <c r="O268" s="91" t="s">
        <v>343</v>
      </c>
      <c r="P268" s="91" t="s">
        <v>344</v>
      </c>
      <c r="Q268" s="128">
        <f t="shared" si="25"/>
        <v>1190000</v>
      </c>
      <c r="R268" s="128"/>
      <c r="S268" s="128"/>
      <c r="T268" s="128"/>
      <c r="U268" s="91" t="s">
        <v>1140</v>
      </c>
      <c r="V268" s="91"/>
      <c r="W268" s="138">
        <f t="shared" si="30"/>
        <v>1000000</v>
      </c>
      <c r="X268" s="91" t="s">
        <v>861</v>
      </c>
      <c r="Y268" s="91" t="s">
        <v>861</v>
      </c>
      <c r="Z268" s="91" t="s">
        <v>861</v>
      </c>
    </row>
    <row r="269" spans="1:26" ht="43" customHeight="1" x14ac:dyDescent="0.35">
      <c r="A269" s="150" t="s">
        <v>1064</v>
      </c>
      <c r="B269" s="91" t="s">
        <v>1003</v>
      </c>
      <c r="C269" s="91" t="s">
        <v>1137</v>
      </c>
      <c r="D269" s="151">
        <v>90101600</v>
      </c>
      <c r="E269" s="91" t="s">
        <v>1082</v>
      </c>
      <c r="F269" s="91" t="s">
        <v>1083</v>
      </c>
      <c r="G269" s="83" t="s">
        <v>45</v>
      </c>
      <c r="H269" s="83" t="s">
        <v>45</v>
      </c>
      <c r="I269" s="100">
        <v>1</v>
      </c>
      <c r="J269" s="100" t="s">
        <v>350</v>
      </c>
      <c r="K269" s="128">
        <v>14300000</v>
      </c>
      <c r="L269" s="154">
        <v>0.19</v>
      </c>
      <c r="M269" s="128">
        <f>K269*L269</f>
        <v>2717000</v>
      </c>
      <c r="N269" s="128">
        <f>M269+K269</f>
        <v>17017000</v>
      </c>
      <c r="O269" s="91" t="s">
        <v>343</v>
      </c>
      <c r="P269" s="91" t="s">
        <v>344</v>
      </c>
      <c r="Q269" s="128">
        <f t="shared" si="25"/>
        <v>17017000</v>
      </c>
      <c r="R269" s="128"/>
      <c r="S269" s="128"/>
      <c r="T269" s="128"/>
      <c r="U269" s="91" t="s">
        <v>1148</v>
      </c>
      <c r="V269" s="91"/>
      <c r="W269" s="138">
        <f t="shared" si="30"/>
        <v>14300000</v>
      </c>
      <c r="X269" s="91" t="s">
        <v>657</v>
      </c>
      <c r="Y269" s="91" t="s">
        <v>658</v>
      </c>
      <c r="Z269" s="91" t="s">
        <v>659</v>
      </c>
    </row>
    <row r="270" spans="1:26" ht="43" customHeight="1" x14ac:dyDescent="0.35">
      <c r="A270" s="150" t="s">
        <v>1064</v>
      </c>
      <c r="B270" s="91" t="s">
        <v>1003</v>
      </c>
      <c r="C270" s="91" t="s">
        <v>1137</v>
      </c>
      <c r="D270" s="151">
        <v>80141902</v>
      </c>
      <c r="E270" s="91" t="s">
        <v>1066</v>
      </c>
      <c r="F270" s="91" t="s">
        <v>1084</v>
      </c>
      <c r="G270" s="100" t="s">
        <v>53</v>
      </c>
      <c r="H270" s="83" t="s">
        <v>53</v>
      </c>
      <c r="I270" s="100">
        <v>1</v>
      </c>
      <c r="J270" s="100" t="s">
        <v>350</v>
      </c>
      <c r="K270" s="128">
        <v>14300000</v>
      </c>
      <c r="L270" s="154">
        <v>0.19</v>
      </c>
      <c r="M270" s="128">
        <f>K270*L270</f>
        <v>2717000</v>
      </c>
      <c r="N270" s="128">
        <f>M270+K270</f>
        <v>17017000</v>
      </c>
      <c r="O270" s="91" t="s">
        <v>343</v>
      </c>
      <c r="P270" s="91" t="s">
        <v>344</v>
      </c>
      <c r="Q270" s="128">
        <f t="shared" si="25"/>
        <v>17017000</v>
      </c>
      <c r="R270" s="128"/>
      <c r="S270" s="128"/>
      <c r="T270" s="128"/>
      <c r="U270" s="91" t="s">
        <v>1148</v>
      </c>
      <c r="V270" s="91"/>
      <c r="W270" s="138">
        <f t="shared" si="30"/>
        <v>14300000</v>
      </c>
      <c r="X270" s="91" t="s">
        <v>657</v>
      </c>
      <c r="Y270" s="91" t="s">
        <v>658</v>
      </c>
      <c r="Z270" s="91" t="s">
        <v>659</v>
      </c>
    </row>
    <row r="271" spans="1:26" ht="43" customHeight="1" x14ac:dyDescent="0.35">
      <c r="A271" s="150" t="s">
        <v>1064</v>
      </c>
      <c r="B271" s="91" t="s">
        <v>1003</v>
      </c>
      <c r="C271" s="91" t="s">
        <v>1149</v>
      </c>
      <c r="D271" s="151">
        <v>78181703</v>
      </c>
      <c r="E271" s="91" t="s">
        <v>1090</v>
      </c>
      <c r="F271" s="91" t="s">
        <v>1150</v>
      </c>
      <c r="G271" s="83" t="s">
        <v>44</v>
      </c>
      <c r="H271" s="83" t="s">
        <v>45</v>
      </c>
      <c r="I271" s="100">
        <v>3</v>
      </c>
      <c r="J271" s="100" t="s">
        <v>350</v>
      </c>
      <c r="K271" s="128">
        <v>5741573</v>
      </c>
      <c r="L271" s="154">
        <v>0.19</v>
      </c>
      <c r="M271" s="128">
        <f>+K271*L271</f>
        <v>1090898.8700000001</v>
      </c>
      <c r="N271" s="128">
        <f>+K271+M271</f>
        <v>6832471.8700000001</v>
      </c>
      <c r="O271" s="91" t="s">
        <v>343</v>
      </c>
      <c r="P271" s="91" t="s">
        <v>344</v>
      </c>
      <c r="Q271" s="128">
        <f t="shared" si="25"/>
        <v>6832471.8700000001</v>
      </c>
      <c r="R271" s="138"/>
      <c r="S271" s="138"/>
      <c r="T271" s="138"/>
      <c r="U271" s="91" t="s">
        <v>1151</v>
      </c>
      <c r="V271" s="91" t="s">
        <v>1092</v>
      </c>
      <c r="W271" s="138">
        <f t="shared" si="30"/>
        <v>5741573</v>
      </c>
      <c r="X271" s="91" t="s">
        <v>1093</v>
      </c>
      <c r="Y271" s="91" t="s">
        <v>1094</v>
      </c>
      <c r="Z271" s="91" t="s">
        <v>1094</v>
      </c>
    </row>
    <row r="272" spans="1:26" ht="43" customHeight="1" x14ac:dyDescent="0.35">
      <c r="A272" s="150" t="s">
        <v>1064</v>
      </c>
      <c r="B272" s="91" t="s">
        <v>1003</v>
      </c>
      <c r="C272" s="91" t="s">
        <v>1149</v>
      </c>
      <c r="D272" s="151">
        <v>72101511</v>
      </c>
      <c r="E272" s="91" t="s">
        <v>886</v>
      </c>
      <c r="F272" s="91" t="s">
        <v>1152</v>
      </c>
      <c r="G272" s="83" t="s">
        <v>45</v>
      </c>
      <c r="H272" s="83" t="s">
        <v>46</v>
      </c>
      <c r="I272" s="100">
        <v>7</v>
      </c>
      <c r="J272" s="100" t="s">
        <v>350</v>
      </c>
      <c r="K272" s="128">
        <v>3797271</v>
      </c>
      <c r="L272" s="154">
        <v>0.19</v>
      </c>
      <c r="M272" s="128">
        <f>+K272*L272</f>
        <v>721481.49</v>
      </c>
      <c r="N272" s="128">
        <f>+K272+M272</f>
        <v>4518752.49</v>
      </c>
      <c r="O272" s="91" t="s">
        <v>343</v>
      </c>
      <c r="P272" s="91" t="s">
        <v>344</v>
      </c>
      <c r="Q272" s="128">
        <f t="shared" si="25"/>
        <v>4518752.49</v>
      </c>
      <c r="R272" s="138"/>
      <c r="S272" s="138"/>
      <c r="T272" s="138"/>
      <c r="U272" s="157" t="s">
        <v>1151</v>
      </c>
      <c r="V272" s="91"/>
      <c r="W272" s="138">
        <f t="shared" si="30"/>
        <v>3797271.0000000005</v>
      </c>
      <c r="X272" s="91" t="s">
        <v>882</v>
      </c>
      <c r="Y272" s="91" t="s">
        <v>883</v>
      </c>
      <c r="Z272" s="91" t="s">
        <v>889</v>
      </c>
    </row>
    <row r="273" spans="1:26" ht="43" customHeight="1" x14ac:dyDescent="0.35">
      <c r="A273" s="150" t="s">
        <v>1064</v>
      </c>
      <c r="B273" s="91" t="s">
        <v>1003</v>
      </c>
      <c r="C273" s="91" t="s">
        <v>1149</v>
      </c>
      <c r="D273" s="151">
        <v>73152108</v>
      </c>
      <c r="E273" s="91" t="s">
        <v>1153</v>
      </c>
      <c r="F273" s="91" t="s">
        <v>1154</v>
      </c>
      <c r="G273" s="83" t="s">
        <v>45</v>
      </c>
      <c r="H273" s="83" t="s">
        <v>46</v>
      </c>
      <c r="I273" s="100">
        <v>7</v>
      </c>
      <c r="J273" s="100" t="s">
        <v>350</v>
      </c>
      <c r="K273" s="128">
        <v>2936232</v>
      </c>
      <c r="L273" s="154">
        <v>0.19</v>
      </c>
      <c r="M273" s="128">
        <f>+K273*L273</f>
        <v>557884.07999999996</v>
      </c>
      <c r="N273" s="128">
        <f>+K273+M273</f>
        <v>3494116.08</v>
      </c>
      <c r="O273" s="91" t="s">
        <v>343</v>
      </c>
      <c r="P273" s="91" t="s">
        <v>344</v>
      </c>
      <c r="Q273" s="128">
        <f t="shared" si="25"/>
        <v>3494116.08</v>
      </c>
      <c r="R273" s="138"/>
      <c r="S273" s="138"/>
      <c r="T273" s="138"/>
      <c r="U273" s="157" t="s">
        <v>1151</v>
      </c>
      <c r="V273" s="91"/>
      <c r="W273" s="138">
        <f t="shared" si="30"/>
        <v>2936232</v>
      </c>
      <c r="X273" s="91" t="s">
        <v>882</v>
      </c>
      <c r="Y273" s="91" t="s">
        <v>883</v>
      </c>
      <c r="Z273" s="91" t="s">
        <v>1155</v>
      </c>
    </row>
    <row r="274" spans="1:26" ht="43" customHeight="1" x14ac:dyDescent="0.35">
      <c r="A274" s="150" t="s">
        <v>1064</v>
      </c>
      <c r="B274" s="91" t="s">
        <v>1003</v>
      </c>
      <c r="C274" s="91" t="s">
        <v>1149</v>
      </c>
      <c r="D274" s="151">
        <v>48101909</v>
      </c>
      <c r="E274" s="91" t="s">
        <v>1097</v>
      </c>
      <c r="F274" s="91" t="s">
        <v>1156</v>
      </c>
      <c r="G274" s="83" t="s">
        <v>46</v>
      </c>
      <c r="H274" s="83" t="s">
        <v>47</v>
      </c>
      <c r="I274" s="100">
        <v>1</v>
      </c>
      <c r="J274" s="100" t="s">
        <v>1068</v>
      </c>
      <c r="K274" s="128">
        <v>500000</v>
      </c>
      <c r="L274" s="154">
        <v>0.19</v>
      </c>
      <c r="M274" s="128">
        <f>+K274*L274</f>
        <v>95000</v>
      </c>
      <c r="N274" s="128">
        <f>+K274+M274</f>
        <v>595000</v>
      </c>
      <c r="O274" s="91" t="s">
        <v>343</v>
      </c>
      <c r="P274" s="91" t="s">
        <v>344</v>
      </c>
      <c r="Q274" s="128">
        <f t="shared" si="25"/>
        <v>595000</v>
      </c>
      <c r="R274" s="138"/>
      <c r="S274" s="138"/>
      <c r="T274" s="138"/>
      <c r="U274" s="157" t="s">
        <v>1151</v>
      </c>
      <c r="V274" s="91"/>
      <c r="W274" s="138">
        <f t="shared" si="30"/>
        <v>500000</v>
      </c>
      <c r="X274" s="91" t="s">
        <v>861</v>
      </c>
      <c r="Y274" s="91" t="s">
        <v>861</v>
      </c>
      <c r="Z274" s="91" t="s">
        <v>861</v>
      </c>
    </row>
    <row r="275" spans="1:26" ht="43" customHeight="1" x14ac:dyDescent="0.35">
      <c r="A275" s="150" t="s">
        <v>1064</v>
      </c>
      <c r="B275" s="91" t="s">
        <v>1003</v>
      </c>
      <c r="C275" s="91" t="s">
        <v>1149</v>
      </c>
      <c r="D275" s="151">
        <v>90101600</v>
      </c>
      <c r="E275" s="91" t="s">
        <v>1082</v>
      </c>
      <c r="F275" s="91" t="s">
        <v>1083</v>
      </c>
      <c r="G275" s="83" t="s">
        <v>45</v>
      </c>
      <c r="H275" s="83" t="s">
        <v>45</v>
      </c>
      <c r="I275" s="100">
        <v>1</v>
      </c>
      <c r="J275" s="100" t="s">
        <v>350</v>
      </c>
      <c r="K275" s="128">
        <v>28428000</v>
      </c>
      <c r="L275" s="154">
        <v>0.19</v>
      </c>
      <c r="M275" s="128">
        <f>K275*L275</f>
        <v>5401320</v>
      </c>
      <c r="N275" s="128">
        <f>M275+K275</f>
        <v>33829320</v>
      </c>
      <c r="O275" s="91" t="s">
        <v>343</v>
      </c>
      <c r="P275" s="91" t="s">
        <v>344</v>
      </c>
      <c r="Q275" s="128">
        <f t="shared" si="25"/>
        <v>33829320</v>
      </c>
      <c r="R275" s="128"/>
      <c r="S275" s="128"/>
      <c r="T275" s="128"/>
      <c r="U275" s="91" t="s">
        <v>1157</v>
      </c>
      <c r="V275" s="91"/>
      <c r="W275" s="138">
        <f t="shared" si="30"/>
        <v>28428000</v>
      </c>
      <c r="X275" s="91" t="s">
        <v>657</v>
      </c>
      <c r="Y275" s="91" t="s">
        <v>658</v>
      </c>
      <c r="Z275" s="91" t="s">
        <v>659</v>
      </c>
    </row>
    <row r="276" spans="1:26" ht="43" customHeight="1" x14ac:dyDescent="0.35">
      <c r="A276" s="150" t="s">
        <v>1064</v>
      </c>
      <c r="B276" s="91" t="s">
        <v>1003</v>
      </c>
      <c r="C276" s="91" t="s">
        <v>1149</v>
      </c>
      <c r="D276" s="151">
        <v>80141902</v>
      </c>
      <c r="E276" s="91" t="s">
        <v>1066</v>
      </c>
      <c r="F276" s="91" t="s">
        <v>1084</v>
      </c>
      <c r="G276" s="100" t="s">
        <v>53</v>
      </c>
      <c r="H276" s="83" t="s">
        <v>53</v>
      </c>
      <c r="I276" s="100">
        <v>1</v>
      </c>
      <c r="J276" s="100" t="s">
        <v>350</v>
      </c>
      <c r="K276" s="128">
        <v>28428000</v>
      </c>
      <c r="L276" s="154">
        <v>0.19</v>
      </c>
      <c r="M276" s="128">
        <f>K276*L276</f>
        <v>5401320</v>
      </c>
      <c r="N276" s="128">
        <f>M276+K276</f>
        <v>33829320</v>
      </c>
      <c r="O276" s="91" t="s">
        <v>343</v>
      </c>
      <c r="P276" s="91" t="s">
        <v>344</v>
      </c>
      <c r="Q276" s="128">
        <f t="shared" si="25"/>
        <v>33829320</v>
      </c>
      <c r="R276" s="128"/>
      <c r="S276" s="128"/>
      <c r="T276" s="128"/>
      <c r="U276" s="91" t="s">
        <v>1157</v>
      </c>
      <c r="V276" s="91"/>
      <c r="W276" s="138">
        <f t="shared" si="30"/>
        <v>28428000</v>
      </c>
      <c r="X276" s="91" t="s">
        <v>657</v>
      </c>
      <c r="Y276" s="91" t="s">
        <v>658</v>
      </c>
      <c r="Z276" s="91" t="s">
        <v>659</v>
      </c>
    </row>
    <row r="277" spans="1:26" ht="43" customHeight="1" x14ac:dyDescent="0.35">
      <c r="A277" s="150" t="s">
        <v>1064</v>
      </c>
      <c r="B277" s="91" t="s">
        <v>1003</v>
      </c>
      <c r="C277" s="91" t="s">
        <v>1158</v>
      </c>
      <c r="D277" s="158">
        <v>52161505</v>
      </c>
      <c r="E277" s="91" t="s">
        <v>1141</v>
      </c>
      <c r="F277" s="26" t="s">
        <v>1159</v>
      </c>
      <c r="G277" s="83" t="s">
        <v>50</v>
      </c>
      <c r="H277" s="83" t="s">
        <v>50</v>
      </c>
      <c r="I277" s="100">
        <v>1</v>
      </c>
      <c r="J277" s="100" t="s">
        <v>350</v>
      </c>
      <c r="K277" s="128">
        <v>3000000</v>
      </c>
      <c r="L277" s="129">
        <v>0.19</v>
      </c>
      <c r="M277" s="128">
        <f t="shared" ref="M277:M287" si="33">+K277*L277</f>
        <v>570000</v>
      </c>
      <c r="N277" s="128">
        <f t="shared" ref="N277:N287" si="34">+K277+M277</f>
        <v>3570000</v>
      </c>
      <c r="O277" s="91" t="s">
        <v>343</v>
      </c>
      <c r="P277" s="91" t="s">
        <v>344</v>
      </c>
      <c r="Q277" s="128">
        <f t="shared" si="25"/>
        <v>3570000</v>
      </c>
      <c r="R277" s="128"/>
      <c r="S277" s="128"/>
      <c r="T277" s="128"/>
      <c r="U277" s="91" t="s">
        <v>1160</v>
      </c>
      <c r="V277" s="91" t="s">
        <v>1102</v>
      </c>
      <c r="W277" s="138">
        <f t="shared" si="30"/>
        <v>3000000</v>
      </c>
      <c r="X277" s="91" t="s">
        <v>1103</v>
      </c>
      <c r="Y277" s="91" t="s">
        <v>963</v>
      </c>
      <c r="Z277" s="91" t="s">
        <v>1104</v>
      </c>
    </row>
    <row r="278" spans="1:26" ht="43" customHeight="1" x14ac:dyDescent="0.35">
      <c r="A278" s="150" t="s">
        <v>1064</v>
      </c>
      <c r="B278" s="91" t="s">
        <v>1003</v>
      </c>
      <c r="C278" s="91" t="s">
        <v>1158</v>
      </c>
      <c r="D278" s="158">
        <v>48101909</v>
      </c>
      <c r="E278" s="91" t="s">
        <v>1097</v>
      </c>
      <c r="F278" s="91" t="s">
        <v>1161</v>
      </c>
      <c r="G278" s="83" t="s">
        <v>46</v>
      </c>
      <c r="H278" s="83" t="s">
        <v>46</v>
      </c>
      <c r="I278" s="100">
        <v>1</v>
      </c>
      <c r="J278" s="100" t="s">
        <v>1068</v>
      </c>
      <c r="K278" s="128">
        <v>500000</v>
      </c>
      <c r="L278" s="129">
        <v>0.19</v>
      </c>
      <c r="M278" s="128">
        <f t="shared" si="33"/>
        <v>95000</v>
      </c>
      <c r="N278" s="128">
        <f t="shared" si="34"/>
        <v>595000</v>
      </c>
      <c r="O278" s="91" t="s">
        <v>343</v>
      </c>
      <c r="P278" s="91" t="s">
        <v>344</v>
      </c>
      <c r="Q278" s="128">
        <f t="shared" si="25"/>
        <v>595000</v>
      </c>
      <c r="R278" s="128"/>
      <c r="S278" s="128"/>
      <c r="T278" s="128"/>
      <c r="U278" s="91" t="s">
        <v>1160</v>
      </c>
      <c r="V278" s="91"/>
      <c r="W278" s="138">
        <f t="shared" si="30"/>
        <v>500000</v>
      </c>
      <c r="X278" s="91" t="s">
        <v>861</v>
      </c>
      <c r="Y278" s="91" t="s">
        <v>861</v>
      </c>
      <c r="Z278" s="91" t="s">
        <v>861</v>
      </c>
    </row>
    <row r="279" spans="1:26" ht="43" customHeight="1" x14ac:dyDescent="0.35">
      <c r="A279" s="150" t="s">
        <v>1064</v>
      </c>
      <c r="B279" s="91" t="s">
        <v>1003</v>
      </c>
      <c r="C279" s="91" t="s">
        <v>1162</v>
      </c>
      <c r="D279" s="151">
        <v>90101600</v>
      </c>
      <c r="E279" s="91" t="s">
        <v>1082</v>
      </c>
      <c r="F279" s="91" t="s">
        <v>1083</v>
      </c>
      <c r="G279" s="83" t="s">
        <v>49</v>
      </c>
      <c r="H279" s="83" t="s">
        <v>49</v>
      </c>
      <c r="I279" s="100">
        <v>1</v>
      </c>
      <c r="J279" s="100" t="s">
        <v>350</v>
      </c>
      <c r="K279" s="128">
        <v>1800000</v>
      </c>
      <c r="L279" s="129">
        <v>0.19</v>
      </c>
      <c r="M279" s="128">
        <f t="shared" si="33"/>
        <v>342000</v>
      </c>
      <c r="N279" s="128">
        <f t="shared" si="34"/>
        <v>2142000</v>
      </c>
      <c r="O279" s="91" t="s">
        <v>343</v>
      </c>
      <c r="P279" s="91" t="s">
        <v>344</v>
      </c>
      <c r="Q279" s="128">
        <f t="shared" si="25"/>
        <v>2142000</v>
      </c>
      <c r="R279" s="128"/>
      <c r="S279" s="128"/>
      <c r="T279" s="128"/>
      <c r="U279" s="91" t="s">
        <v>1163</v>
      </c>
      <c r="V279" s="91"/>
      <c r="W279" s="138">
        <f t="shared" si="30"/>
        <v>1800000</v>
      </c>
      <c r="X279" s="104" t="s">
        <v>811</v>
      </c>
      <c r="Y279" s="104" t="s">
        <v>811</v>
      </c>
      <c r="Z279" s="104" t="s">
        <v>825</v>
      </c>
    </row>
    <row r="280" spans="1:26" ht="43" customHeight="1" x14ac:dyDescent="0.35">
      <c r="A280" s="150" t="s">
        <v>1064</v>
      </c>
      <c r="B280" s="91" t="s">
        <v>1003</v>
      </c>
      <c r="C280" s="91" t="s">
        <v>1162</v>
      </c>
      <c r="D280" s="151">
        <v>90101600</v>
      </c>
      <c r="E280" s="91" t="s">
        <v>1082</v>
      </c>
      <c r="F280" s="91" t="s">
        <v>1164</v>
      </c>
      <c r="G280" s="100" t="s">
        <v>53</v>
      </c>
      <c r="H280" s="83" t="s">
        <v>53</v>
      </c>
      <c r="I280" s="100">
        <v>1</v>
      </c>
      <c r="J280" s="100" t="s">
        <v>350</v>
      </c>
      <c r="K280" s="128">
        <v>1800000</v>
      </c>
      <c r="L280" s="129">
        <v>0.19</v>
      </c>
      <c r="M280" s="128">
        <f t="shared" si="33"/>
        <v>342000</v>
      </c>
      <c r="N280" s="128">
        <f t="shared" si="34"/>
        <v>2142000</v>
      </c>
      <c r="O280" s="91" t="s">
        <v>343</v>
      </c>
      <c r="P280" s="91" t="s">
        <v>344</v>
      </c>
      <c r="Q280" s="128">
        <f t="shared" si="25"/>
        <v>2142000</v>
      </c>
      <c r="R280" s="128"/>
      <c r="S280" s="128"/>
      <c r="T280" s="128"/>
      <c r="U280" s="91" t="s">
        <v>1163</v>
      </c>
      <c r="V280" s="91"/>
      <c r="W280" s="138">
        <f t="shared" si="30"/>
        <v>1800000</v>
      </c>
      <c r="X280" s="104" t="s">
        <v>811</v>
      </c>
      <c r="Y280" s="104" t="s">
        <v>811</v>
      </c>
      <c r="Z280" s="104" t="s">
        <v>825</v>
      </c>
    </row>
    <row r="281" spans="1:26" ht="43" customHeight="1" x14ac:dyDescent="0.35">
      <c r="A281" s="150" t="s">
        <v>1064</v>
      </c>
      <c r="B281" s="91" t="s">
        <v>1003</v>
      </c>
      <c r="C281" s="91" t="s">
        <v>1162</v>
      </c>
      <c r="D281" s="155">
        <v>48101516</v>
      </c>
      <c r="E281" s="91" t="s">
        <v>1165</v>
      </c>
      <c r="F281" s="91" t="s">
        <v>1166</v>
      </c>
      <c r="G281" s="83" t="s">
        <v>45</v>
      </c>
      <c r="H281" s="83" t="s">
        <v>45</v>
      </c>
      <c r="I281" s="100">
        <v>1</v>
      </c>
      <c r="J281" s="100" t="s">
        <v>1068</v>
      </c>
      <c r="K281" s="159">
        <v>700000</v>
      </c>
      <c r="L281" s="129">
        <v>0.19</v>
      </c>
      <c r="M281" s="128">
        <f t="shared" si="33"/>
        <v>133000</v>
      </c>
      <c r="N281" s="128">
        <f t="shared" si="34"/>
        <v>833000</v>
      </c>
      <c r="O281" s="91" t="s">
        <v>343</v>
      </c>
      <c r="P281" s="91" t="s">
        <v>344</v>
      </c>
      <c r="Q281" s="128">
        <f t="shared" si="25"/>
        <v>833000</v>
      </c>
      <c r="R281" s="128"/>
      <c r="S281" s="128"/>
      <c r="T281" s="128"/>
      <c r="U281" s="91" t="s">
        <v>1163</v>
      </c>
      <c r="V281" s="91" t="s">
        <v>1102</v>
      </c>
      <c r="W281" s="138">
        <f t="shared" si="30"/>
        <v>700000</v>
      </c>
      <c r="X281" s="91" t="s">
        <v>1103</v>
      </c>
      <c r="Y281" s="91" t="s">
        <v>963</v>
      </c>
      <c r="Z281" s="91" t="s">
        <v>1104</v>
      </c>
    </row>
    <row r="282" spans="1:26" ht="43" customHeight="1" x14ac:dyDescent="0.35">
      <c r="A282" s="150" t="s">
        <v>1064</v>
      </c>
      <c r="B282" s="91" t="s">
        <v>1003</v>
      </c>
      <c r="C282" s="91" t="s">
        <v>1162</v>
      </c>
      <c r="D282" s="155">
        <v>40101808</v>
      </c>
      <c r="E282" s="91" t="s">
        <v>1167</v>
      </c>
      <c r="F282" s="91" t="s">
        <v>1168</v>
      </c>
      <c r="G282" s="83" t="s">
        <v>46</v>
      </c>
      <c r="H282" s="83" t="s">
        <v>46</v>
      </c>
      <c r="I282" s="100">
        <v>1</v>
      </c>
      <c r="J282" s="100" t="s">
        <v>1068</v>
      </c>
      <c r="K282" s="159">
        <v>600000</v>
      </c>
      <c r="L282" s="129">
        <v>0.19</v>
      </c>
      <c r="M282" s="128">
        <f t="shared" si="33"/>
        <v>114000</v>
      </c>
      <c r="N282" s="128">
        <f t="shared" si="34"/>
        <v>714000</v>
      </c>
      <c r="O282" s="91" t="s">
        <v>343</v>
      </c>
      <c r="P282" s="91" t="s">
        <v>344</v>
      </c>
      <c r="Q282" s="128">
        <f t="shared" si="25"/>
        <v>714000</v>
      </c>
      <c r="R282" s="128"/>
      <c r="S282" s="128"/>
      <c r="T282" s="128"/>
      <c r="U282" s="91" t="s">
        <v>1163</v>
      </c>
      <c r="V282" s="91" t="s">
        <v>1102</v>
      </c>
      <c r="W282" s="138">
        <f t="shared" si="30"/>
        <v>600000</v>
      </c>
      <c r="X282" s="91" t="s">
        <v>1103</v>
      </c>
      <c r="Y282" s="91" t="s">
        <v>963</v>
      </c>
      <c r="Z282" s="91" t="s">
        <v>1104</v>
      </c>
    </row>
    <row r="283" spans="1:26" ht="43" customHeight="1" x14ac:dyDescent="0.35">
      <c r="A283" s="150" t="s">
        <v>1064</v>
      </c>
      <c r="B283" s="91" t="s">
        <v>1003</v>
      </c>
      <c r="C283" s="91" t="s">
        <v>1162</v>
      </c>
      <c r="D283" s="151">
        <v>72101511</v>
      </c>
      <c r="E283" s="26" t="s">
        <v>886</v>
      </c>
      <c r="F283" s="26" t="s">
        <v>1169</v>
      </c>
      <c r="G283" s="83" t="s">
        <v>43</v>
      </c>
      <c r="H283" s="83" t="s">
        <v>43</v>
      </c>
      <c r="I283" s="100">
        <v>12</v>
      </c>
      <c r="J283" s="100" t="s">
        <v>350</v>
      </c>
      <c r="K283" s="128">
        <v>1800000</v>
      </c>
      <c r="L283" s="129">
        <v>0.19</v>
      </c>
      <c r="M283" s="128">
        <f t="shared" si="33"/>
        <v>342000</v>
      </c>
      <c r="N283" s="128">
        <f t="shared" si="34"/>
        <v>2142000</v>
      </c>
      <c r="O283" s="91" t="s">
        <v>343</v>
      </c>
      <c r="P283" s="91" t="s">
        <v>344</v>
      </c>
      <c r="Q283" s="128">
        <f t="shared" si="25"/>
        <v>2142000</v>
      </c>
      <c r="R283" s="128"/>
      <c r="S283" s="128"/>
      <c r="T283" s="128"/>
      <c r="U283" s="91" t="s">
        <v>1163</v>
      </c>
      <c r="V283" s="91"/>
      <c r="W283" s="138">
        <f t="shared" si="30"/>
        <v>1800000</v>
      </c>
      <c r="X283" s="91" t="s">
        <v>882</v>
      </c>
      <c r="Y283" s="91" t="s">
        <v>883</v>
      </c>
      <c r="Z283" s="91" t="s">
        <v>889</v>
      </c>
    </row>
    <row r="284" spans="1:26" ht="43" customHeight="1" x14ac:dyDescent="0.35">
      <c r="A284" s="150" t="s">
        <v>1064</v>
      </c>
      <c r="B284" s="91" t="s">
        <v>1003</v>
      </c>
      <c r="C284" s="91" t="s">
        <v>1162</v>
      </c>
      <c r="D284" s="151">
        <v>78181703</v>
      </c>
      <c r="E284" s="91" t="s">
        <v>1090</v>
      </c>
      <c r="F284" s="91" t="s">
        <v>1170</v>
      </c>
      <c r="G284" s="83" t="s">
        <v>44</v>
      </c>
      <c r="H284" s="83" t="s">
        <v>44</v>
      </c>
      <c r="I284" s="100">
        <v>10</v>
      </c>
      <c r="J284" s="100" t="s">
        <v>350</v>
      </c>
      <c r="K284" s="128">
        <v>2460674</v>
      </c>
      <c r="L284" s="129">
        <v>0.19</v>
      </c>
      <c r="M284" s="128">
        <f t="shared" si="33"/>
        <v>467528.06</v>
      </c>
      <c r="N284" s="128">
        <f t="shared" si="34"/>
        <v>2928202.06</v>
      </c>
      <c r="O284" s="91" t="s">
        <v>343</v>
      </c>
      <c r="P284" s="91" t="s">
        <v>344</v>
      </c>
      <c r="Q284" s="128">
        <f t="shared" si="25"/>
        <v>2928202.06</v>
      </c>
      <c r="R284" s="128"/>
      <c r="S284" s="128"/>
      <c r="T284" s="128"/>
      <c r="U284" s="91" t="s">
        <v>1163</v>
      </c>
      <c r="V284" s="91" t="s">
        <v>1092</v>
      </c>
      <c r="W284" s="138">
        <f t="shared" si="30"/>
        <v>2460674</v>
      </c>
      <c r="X284" s="91" t="s">
        <v>1093</v>
      </c>
      <c r="Y284" s="91" t="s">
        <v>1094</v>
      </c>
      <c r="Z284" s="91" t="s">
        <v>1094</v>
      </c>
    </row>
    <row r="285" spans="1:26" ht="43" customHeight="1" x14ac:dyDescent="0.35">
      <c r="A285" s="150" t="s">
        <v>1064</v>
      </c>
      <c r="B285" s="91" t="s">
        <v>1003</v>
      </c>
      <c r="C285" s="91" t="s">
        <v>1162</v>
      </c>
      <c r="D285" s="155">
        <v>56112103</v>
      </c>
      <c r="E285" s="91" t="s">
        <v>1171</v>
      </c>
      <c r="F285" s="91" t="s">
        <v>1172</v>
      </c>
      <c r="G285" s="83" t="s">
        <v>46</v>
      </c>
      <c r="H285" s="83" t="s">
        <v>46</v>
      </c>
      <c r="I285" s="100">
        <v>1</v>
      </c>
      <c r="J285" s="100" t="s">
        <v>350</v>
      </c>
      <c r="K285" s="128">
        <f>700000*3</f>
        <v>2100000</v>
      </c>
      <c r="L285" s="129">
        <v>0.19</v>
      </c>
      <c r="M285" s="128">
        <f t="shared" si="33"/>
        <v>399000</v>
      </c>
      <c r="N285" s="128">
        <f t="shared" si="34"/>
        <v>2499000</v>
      </c>
      <c r="O285" s="91" t="s">
        <v>343</v>
      </c>
      <c r="P285" s="91" t="s">
        <v>344</v>
      </c>
      <c r="Q285" s="128">
        <f t="shared" si="25"/>
        <v>2499000</v>
      </c>
      <c r="R285" s="128"/>
      <c r="S285" s="128"/>
      <c r="T285" s="128"/>
      <c r="U285" s="91" t="s">
        <v>1163</v>
      </c>
      <c r="V285" s="91" t="s">
        <v>1102</v>
      </c>
      <c r="W285" s="138">
        <f t="shared" si="30"/>
        <v>2100000</v>
      </c>
      <c r="X285" s="91" t="s">
        <v>1103</v>
      </c>
      <c r="Y285" s="91" t="s">
        <v>963</v>
      </c>
      <c r="Z285" s="91" t="s">
        <v>1104</v>
      </c>
    </row>
    <row r="286" spans="1:26" ht="43" customHeight="1" x14ac:dyDescent="0.35">
      <c r="A286" s="150" t="s">
        <v>1064</v>
      </c>
      <c r="B286" s="91" t="s">
        <v>1003</v>
      </c>
      <c r="C286" s="91" t="s">
        <v>1162</v>
      </c>
      <c r="D286" s="155" t="s">
        <v>1146</v>
      </c>
      <c r="E286" s="91" t="s">
        <v>1097</v>
      </c>
      <c r="F286" s="26" t="s">
        <v>1173</v>
      </c>
      <c r="G286" s="83" t="s">
        <v>45</v>
      </c>
      <c r="H286" s="83" t="s">
        <v>45</v>
      </c>
      <c r="I286" s="100">
        <v>1</v>
      </c>
      <c r="J286" s="100" t="s">
        <v>1068</v>
      </c>
      <c r="K286" s="128">
        <v>800000</v>
      </c>
      <c r="L286" s="129">
        <v>0.19</v>
      </c>
      <c r="M286" s="128">
        <f t="shared" si="33"/>
        <v>152000</v>
      </c>
      <c r="N286" s="128">
        <f t="shared" si="34"/>
        <v>952000</v>
      </c>
      <c r="O286" s="91" t="s">
        <v>343</v>
      </c>
      <c r="P286" s="91" t="s">
        <v>344</v>
      </c>
      <c r="Q286" s="128">
        <f t="shared" si="25"/>
        <v>952000</v>
      </c>
      <c r="R286" s="128"/>
      <c r="S286" s="128"/>
      <c r="T286" s="128"/>
      <c r="U286" s="91" t="s">
        <v>1163</v>
      </c>
      <c r="V286" s="91"/>
      <c r="W286" s="138">
        <f t="shared" si="30"/>
        <v>800000</v>
      </c>
      <c r="X286" s="91" t="s">
        <v>861</v>
      </c>
      <c r="Y286" s="91" t="s">
        <v>861</v>
      </c>
      <c r="Z286" s="91" t="s">
        <v>861</v>
      </c>
    </row>
    <row r="287" spans="1:26" ht="43" customHeight="1" x14ac:dyDescent="0.35">
      <c r="A287" s="150" t="s">
        <v>1064</v>
      </c>
      <c r="B287" s="91" t="s">
        <v>1003</v>
      </c>
      <c r="C287" s="91" t="s">
        <v>1162</v>
      </c>
      <c r="D287" s="151">
        <v>72101516</v>
      </c>
      <c r="E287" s="91" t="s">
        <v>1079</v>
      </c>
      <c r="F287" s="91" t="s">
        <v>1174</v>
      </c>
      <c r="G287" s="83" t="s">
        <v>52</v>
      </c>
      <c r="H287" s="83" t="s">
        <v>52</v>
      </c>
      <c r="I287" s="100">
        <v>1</v>
      </c>
      <c r="J287" s="100" t="s">
        <v>1068</v>
      </c>
      <c r="K287" s="128">
        <v>150000</v>
      </c>
      <c r="L287" s="129">
        <v>0.19</v>
      </c>
      <c r="M287" s="128">
        <f t="shared" si="33"/>
        <v>28500</v>
      </c>
      <c r="N287" s="128">
        <f t="shared" si="34"/>
        <v>178500</v>
      </c>
      <c r="O287" s="91" t="s">
        <v>343</v>
      </c>
      <c r="P287" s="91" t="s">
        <v>344</v>
      </c>
      <c r="Q287" s="128">
        <f t="shared" si="25"/>
        <v>178500</v>
      </c>
      <c r="R287" s="128"/>
      <c r="S287" s="128"/>
      <c r="T287" s="128"/>
      <c r="U287" s="91" t="s">
        <v>1163</v>
      </c>
      <c r="V287" s="91"/>
      <c r="W287" s="138">
        <f t="shared" si="30"/>
        <v>150000</v>
      </c>
      <c r="X287" s="91" t="s">
        <v>882</v>
      </c>
      <c r="Y287" s="91" t="s">
        <v>883</v>
      </c>
      <c r="Z287" s="91" t="s">
        <v>1081</v>
      </c>
    </row>
    <row r="288" spans="1:26" ht="43" customHeight="1" x14ac:dyDescent="0.35">
      <c r="A288" s="150" t="s">
        <v>1064</v>
      </c>
      <c r="B288" s="91" t="s">
        <v>1003</v>
      </c>
      <c r="C288" s="91" t="s">
        <v>1162</v>
      </c>
      <c r="D288" s="151">
        <v>90101600</v>
      </c>
      <c r="E288" s="91" t="s">
        <v>1082</v>
      </c>
      <c r="F288" s="91" t="s">
        <v>1083</v>
      </c>
      <c r="G288" s="83" t="s">
        <v>45</v>
      </c>
      <c r="H288" s="83" t="s">
        <v>45</v>
      </c>
      <c r="I288" s="100">
        <v>1</v>
      </c>
      <c r="J288" s="100" t="s">
        <v>350</v>
      </c>
      <c r="K288" s="128">
        <v>4502336</v>
      </c>
      <c r="L288" s="154">
        <v>0.19</v>
      </c>
      <c r="M288" s="128">
        <f>K288*L288</f>
        <v>855443.84</v>
      </c>
      <c r="N288" s="128">
        <f>M288+K288</f>
        <v>5357779.84</v>
      </c>
      <c r="O288" s="91" t="s">
        <v>343</v>
      </c>
      <c r="P288" s="91" t="s">
        <v>344</v>
      </c>
      <c r="Q288" s="128">
        <f t="shared" si="25"/>
        <v>5357779.84</v>
      </c>
      <c r="R288" s="128"/>
      <c r="S288" s="128"/>
      <c r="T288" s="128"/>
      <c r="U288" s="91" t="s">
        <v>1163</v>
      </c>
      <c r="V288" s="91"/>
      <c r="W288" s="138">
        <f t="shared" si="30"/>
        <v>4502336</v>
      </c>
      <c r="X288" s="91" t="s">
        <v>657</v>
      </c>
      <c r="Y288" s="91" t="s">
        <v>658</v>
      </c>
      <c r="Z288" s="91" t="s">
        <v>659</v>
      </c>
    </row>
    <row r="289" spans="1:26" ht="43" customHeight="1" x14ac:dyDescent="0.35">
      <c r="A289" s="150" t="s">
        <v>1064</v>
      </c>
      <c r="B289" s="91" t="s">
        <v>1003</v>
      </c>
      <c r="C289" s="91" t="s">
        <v>1162</v>
      </c>
      <c r="D289" s="151">
        <v>80141902</v>
      </c>
      <c r="E289" s="91" t="s">
        <v>1066</v>
      </c>
      <c r="F289" s="91" t="s">
        <v>1084</v>
      </c>
      <c r="G289" s="100" t="s">
        <v>53</v>
      </c>
      <c r="H289" s="83" t="s">
        <v>53</v>
      </c>
      <c r="I289" s="100">
        <v>1</v>
      </c>
      <c r="J289" s="100" t="s">
        <v>350</v>
      </c>
      <c r="K289" s="128">
        <v>4502336</v>
      </c>
      <c r="L289" s="154">
        <v>0.19</v>
      </c>
      <c r="M289" s="128">
        <f>K289*L289</f>
        <v>855443.84</v>
      </c>
      <c r="N289" s="128">
        <f>M289+K289</f>
        <v>5357779.84</v>
      </c>
      <c r="O289" s="91" t="s">
        <v>343</v>
      </c>
      <c r="P289" s="91" t="s">
        <v>344</v>
      </c>
      <c r="Q289" s="128">
        <f t="shared" si="25"/>
        <v>5357779.84</v>
      </c>
      <c r="R289" s="128"/>
      <c r="S289" s="128"/>
      <c r="T289" s="128"/>
      <c r="U289" s="91" t="s">
        <v>1163</v>
      </c>
      <c r="V289" s="91"/>
      <c r="W289" s="138">
        <f t="shared" si="30"/>
        <v>4502336</v>
      </c>
      <c r="X289" s="91" t="s">
        <v>657</v>
      </c>
      <c r="Y289" s="91" t="s">
        <v>658</v>
      </c>
      <c r="Z289" s="91" t="s">
        <v>659</v>
      </c>
    </row>
    <row r="290" spans="1:26" ht="43" customHeight="1" x14ac:dyDescent="0.35">
      <c r="A290" s="150" t="s">
        <v>1064</v>
      </c>
      <c r="B290" s="91" t="s">
        <v>1003</v>
      </c>
      <c r="C290" s="91" t="s">
        <v>1175</v>
      </c>
      <c r="D290" s="155">
        <v>72101511</v>
      </c>
      <c r="E290" s="91" t="s">
        <v>886</v>
      </c>
      <c r="F290" s="91" t="s">
        <v>1176</v>
      </c>
      <c r="G290" s="83" t="s">
        <v>42</v>
      </c>
      <c r="H290" s="83" t="s">
        <v>43</v>
      </c>
      <c r="I290" s="100">
        <v>10</v>
      </c>
      <c r="J290" s="100" t="s">
        <v>350</v>
      </c>
      <c r="K290" s="138">
        <v>2300000</v>
      </c>
      <c r="L290" s="154">
        <v>0.19</v>
      </c>
      <c r="M290" s="128">
        <f>+K290*L290</f>
        <v>437000</v>
      </c>
      <c r="N290" s="128">
        <f>+K290+M290</f>
        <v>2737000</v>
      </c>
      <c r="O290" s="91" t="s">
        <v>343</v>
      </c>
      <c r="P290" s="91" t="s">
        <v>344</v>
      </c>
      <c r="Q290" s="128">
        <f t="shared" si="25"/>
        <v>2737000</v>
      </c>
      <c r="R290" s="138"/>
      <c r="S290" s="138"/>
      <c r="T290" s="138"/>
      <c r="U290" s="91" t="s">
        <v>1177</v>
      </c>
      <c r="V290" s="91" t="s">
        <v>1178</v>
      </c>
      <c r="W290" s="138">
        <f t="shared" si="30"/>
        <v>2300000</v>
      </c>
      <c r="X290" s="91" t="s">
        <v>882</v>
      </c>
      <c r="Y290" s="91" t="s">
        <v>883</v>
      </c>
      <c r="Z290" s="91" t="s">
        <v>889</v>
      </c>
    </row>
    <row r="291" spans="1:26" ht="43" customHeight="1" x14ac:dyDescent="0.35">
      <c r="A291" s="150" t="s">
        <v>1064</v>
      </c>
      <c r="B291" s="91" t="s">
        <v>1003</v>
      </c>
      <c r="C291" s="91" t="s">
        <v>1175</v>
      </c>
      <c r="D291" s="155">
        <v>80101510</v>
      </c>
      <c r="E291" s="91" t="s">
        <v>420</v>
      </c>
      <c r="F291" s="91" t="s">
        <v>1179</v>
      </c>
      <c r="G291" s="83" t="s">
        <v>42</v>
      </c>
      <c r="H291" s="83" t="s">
        <v>42</v>
      </c>
      <c r="I291" s="100">
        <v>11</v>
      </c>
      <c r="J291" s="100" t="s">
        <v>350</v>
      </c>
      <c r="K291" s="138">
        <v>25358976</v>
      </c>
      <c r="L291" s="154">
        <v>0.19</v>
      </c>
      <c r="M291" s="128">
        <f>+K291*L291</f>
        <v>4818205.4400000004</v>
      </c>
      <c r="N291" s="128">
        <f>+K291+M291</f>
        <v>30177181.440000001</v>
      </c>
      <c r="O291" s="91" t="s">
        <v>343</v>
      </c>
      <c r="P291" s="91" t="s">
        <v>344</v>
      </c>
      <c r="Q291" s="128">
        <f t="shared" ref="Q291:Q354" si="35">N291</f>
        <v>30177181.440000001</v>
      </c>
      <c r="R291" s="138"/>
      <c r="S291" s="138"/>
      <c r="T291" s="138"/>
      <c r="U291" s="91" t="s">
        <v>1177</v>
      </c>
      <c r="V291" s="91"/>
      <c r="W291" s="138">
        <f t="shared" si="30"/>
        <v>25358976.000000004</v>
      </c>
      <c r="X291" s="91" t="s">
        <v>707</v>
      </c>
      <c r="Y291" s="91" t="s">
        <v>707</v>
      </c>
      <c r="Z291" s="91" t="s">
        <v>1180</v>
      </c>
    </row>
    <row r="292" spans="1:26" ht="43" customHeight="1" x14ac:dyDescent="0.35">
      <c r="A292" s="150" t="s">
        <v>1064</v>
      </c>
      <c r="B292" s="91" t="s">
        <v>1003</v>
      </c>
      <c r="C292" s="91" t="s">
        <v>1175</v>
      </c>
      <c r="D292" s="151">
        <v>90101600</v>
      </c>
      <c r="E292" s="91" t="s">
        <v>1082</v>
      </c>
      <c r="F292" s="91" t="s">
        <v>1083</v>
      </c>
      <c r="G292" s="83" t="s">
        <v>45</v>
      </c>
      <c r="H292" s="83" t="s">
        <v>45</v>
      </c>
      <c r="I292" s="100">
        <v>1</v>
      </c>
      <c r="J292" s="100" t="s">
        <v>350</v>
      </c>
      <c r="K292" s="128">
        <v>2500000</v>
      </c>
      <c r="L292" s="154">
        <v>0.19</v>
      </c>
      <c r="M292" s="128">
        <f>K292*L292</f>
        <v>475000</v>
      </c>
      <c r="N292" s="128">
        <f>M292+K292</f>
        <v>2975000</v>
      </c>
      <c r="O292" s="91" t="s">
        <v>343</v>
      </c>
      <c r="P292" s="91" t="s">
        <v>344</v>
      </c>
      <c r="Q292" s="128">
        <f t="shared" si="35"/>
        <v>2975000</v>
      </c>
      <c r="R292" s="128"/>
      <c r="S292" s="128"/>
      <c r="T292" s="128"/>
      <c r="U292" s="91" t="s">
        <v>1181</v>
      </c>
      <c r="V292" s="91"/>
      <c r="W292" s="138">
        <f t="shared" si="30"/>
        <v>2500000</v>
      </c>
      <c r="X292" s="91" t="s">
        <v>657</v>
      </c>
      <c r="Y292" s="91" t="s">
        <v>658</v>
      </c>
      <c r="Z292" s="91" t="s">
        <v>659</v>
      </c>
    </row>
    <row r="293" spans="1:26" ht="43" customHeight="1" x14ac:dyDescent="0.35">
      <c r="A293" s="150" t="s">
        <v>1064</v>
      </c>
      <c r="B293" s="91" t="s">
        <v>1003</v>
      </c>
      <c r="C293" s="91" t="s">
        <v>1175</v>
      </c>
      <c r="D293" s="151">
        <v>80141902</v>
      </c>
      <c r="E293" s="91" t="s">
        <v>1066</v>
      </c>
      <c r="F293" s="91" t="s">
        <v>1084</v>
      </c>
      <c r="G293" s="100" t="s">
        <v>53</v>
      </c>
      <c r="H293" s="83" t="s">
        <v>53</v>
      </c>
      <c r="I293" s="100">
        <v>1</v>
      </c>
      <c r="J293" s="100" t="s">
        <v>350</v>
      </c>
      <c r="K293" s="128">
        <v>2500000</v>
      </c>
      <c r="L293" s="154">
        <v>0.19</v>
      </c>
      <c r="M293" s="128">
        <f>K293*L293</f>
        <v>475000</v>
      </c>
      <c r="N293" s="128">
        <f>M293+K293</f>
        <v>2975000</v>
      </c>
      <c r="O293" s="91" t="s">
        <v>343</v>
      </c>
      <c r="P293" s="91" t="s">
        <v>344</v>
      </c>
      <c r="Q293" s="128">
        <f t="shared" si="35"/>
        <v>2975000</v>
      </c>
      <c r="R293" s="128"/>
      <c r="S293" s="128"/>
      <c r="T293" s="128"/>
      <c r="U293" s="91" t="s">
        <v>1181</v>
      </c>
      <c r="V293" s="91"/>
      <c r="W293" s="138">
        <f t="shared" si="30"/>
        <v>2500000</v>
      </c>
      <c r="X293" s="91" t="s">
        <v>657</v>
      </c>
      <c r="Y293" s="91" t="s">
        <v>658</v>
      </c>
      <c r="Z293" s="91" t="s">
        <v>659</v>
      </c>
    </row>
    <row r="294" spans="1:26" ht="43" customHeight="1" x14ac:dyDescent="0.35">
      <c r="A294" s="150" t="s">
        <v>1064</v>
      </c>
      <c r="B294" s="91" t="s">
        <v>1003</v>
      </c>
      <c r="C294" s="91" t="s">
        <v>1182</v>
      </c>
      <c r="D294" s="151">
        <v>90101600</v>
      </c>
      <c r="E294" s="91" t="s">
        <v>1082</v>
      </c>
      <c r="F294" s="91" t="s">
        <v>1083</v>
      </c>
      <c r="G294" s="83" t="s">
        <v>45</v>
      </c>
      <c r="H294" s="83" t="s">
        <v>45</v>
      </c>
      <c r="I294" s="100">
        <v>1</v>
      </c>
      <c r="J294" s="100" t="s">
        <v>350</v>
      </c>
      <c r="K294" s="128">
        <v>5500000</v>
      </c>
      <c r="L294" s="154">
        <v>0.19</v>
      </c>
      <c r="M294" s="128">
        <f>K294*L294</f>
        <v>1045000</v>
      </c>
      <c r="N294" s="128">
        <f>M294+K294</f>
        <v>6545000</v>
      </c>
      <c r="O294" s="91" t="s">
        <v>343</v>
      </c>
      <c r="P294" s="91" t="s">
        <v>344</v>
      </c>
      <c r="Q294" s="128">
        <f t="shared" si="35"/>
        <v>6545000</v>
      </c>
      <c r="R294" s="128"/>
      <c r="S294" s="128"/>
      <c r="T294" s="128"/>
      <c r="U294" s="91" t="s">
        <v>1183</v>
      </c>
      <c r="V294" s="91"/>
      <c r="W294" s="138">
        <f t="shared" si="30"/>
        <v>5500000</v>
      </c>
      <c r="X294" s="91" t="s">
        <v>657</v>
      </c>
      <c r="Y294" s="91" t="s">
        <v>658</v>
      </c>
      <c r="Z294" s="91" t="s">
        <v>659</v>
      </c>
    </row>
    <row r="295" spans="1:26" ht="43" customHeight="1" x14ac:dyDescent="0.35">
      <c r="A295" s="150" t="s">
        <v>1064</v>
      </c>
      <c r="B295" s="91" t="s">
        <v>1003</v>
      </c>
      <c r="C295" s="91" t="s">
        <v>1182</v>
      </c>
      <c r="D295" s="151">
        <v>80141902</v>
      </c>
      <c r="E295" s="91" t="s">
        <v>1066</v>
      </c>
      <c r="F295" s="91" t="s">
        <v>1084</v>
      </c>
      <c r="G295" s="100" t="s">
        <v>53</v>
      </c>
      <c r="H295" s="83" t="s">
        <v>53</v>
      </c>
      <c r="I295" s="100">
        <v>1</v>
      </c>
      <c r="J295" s="100" t="s">
        <v>350</v>
      </c>
      <c r="K295" s="128">
        <v>5500000</v>
      </c>
      <c r="L295" s="154">
        <v>0.19</v>
      </c>
      <c r="M295" s="128">
        <f>K295*L295</f>
        <v>1045000</v>
      </c>
      <c r="N295" s="128">
        <f>M295+K295</f>
        <v>6545000</v>
      </c>
      <c r="O295" s="91" t="s">
        <v>343</v>
      </c>
      <c r="P295" s="91" t="s">
        <v>344</v>
      </c>
      <c r="Q295" s="128">
        <f t="shared" si="35"/>
        <v>6545000</v>
      </c>
      <c r="R295" s="128"/>
      <c r="S295" s="128"/>
      <c r="T295" s="128"/>
      <c r="U295" s="91" t="s">
        <v>1183</v>
      </c>
      <c r="V295" s="91"/>
      <c r="W295" s="138">
        <f t="shared" si="30"/>
        <v>5500000</v>
      </c>
      <c r="X295" s="91" t="s">
        <v>657</v>
      </c>
      <c r="Y295" s="91" t="s">
        <v>658</v>
      </c>
      <c r="Z295" s="91" t="s">
        <v>659</v>
      </c>
    </row>
    <row r="296" spans="1:26" ht="43" customHeight="1" x14ac:dyDescent="0.35">
      <c r="A296" s="150" t="s">
        <v>1064</v>
      </c>
      <c r="B296" s="91" t="s">
        <v>1003</v>
      </c>
      <c r="C296" s="91" t="s">
        <v>1182</v>
      </c>
      <c r="D296" s="158" t="s">
        <v>1184</v>
      </c>
      <c r="E296" s="91" t="s">
        <v>1076</v>
      </c>
      <c r="F296" s="26" t="s">
        <v>1185</v>
      </c>
      <c r="G296" s="83" t="s">
        <v>47</v>
      </c>
      <c r="H296" s="83" t="s">
        <v>47</v>
      </c>
      <c r="I296" s="100">
        <v>1</v>
      </c>
      <c r="J296" s="100" t="s">
        <v>350</v>
      </c>
      <c r="K296" s="128">
        <v>12000000</v>
      </c>
      <c r="L296" s="129">
        <v>0.19</v>
      </c>
      <c r="M296" s="128">
        <f t="shared" ref="M296:M311" si="36">+K296*L296</f>
        <v>2280000</v>
      </c>
      <c r="N296" s="128">
        <f t="shared" ref="N296:N311" si="37">+K296+M296</f>
        <v>14280000</v>
      </c>
      <c r="O296" s="91" t="s">
        <v>343</v>
      </c>
      <c r="P296" s="91" t="s">
        <v>344</v>
      </c>
      <c r="Q296" s="128">
        <f t="shared" si="35"/>
        <v>14280000</v>
      </c>
      <c r="R296" s="128"/>
      <c r="S296" s="128"/>
      <c r="T296" s="128"/>
      <c r="U296" s="91" t="s">
        <v>1183</v>
      </c>
      <c r="V296" s="91" t="s">
        <v>1102</v>
      </c>
      <c r="W296" s="138">
        <f t="shared" si="30"/>
        <v>12000000</v>
      </c>
      <c r="X296" s="91" t="s">
        <v>983</v>
      </c>
      <c r="Y296" s="91" t="s">
        <v>983</v>
      </c>
      <c r="Z296" s="91" t="s">
        <v>1110</v>
      </c>
    </row>
    <row r="297" spans="1:26" ht="43" customHeight="1" x14ac:dyDescent="0.35">
      <c r="A297" s="150" t="s">
        <v>1064</v>
      </c>
      <c r="B297" s="91" t="s">
        <v>1003</v>
      </c>
      <c r="C297" s="91" t="s">
        <v>1182</v>
      </c>
      <c r="D297" s="158" t="s">
        <v>1186</v>
      </c>
      <c r="E297" s="91" t="s">
        <v>1187</v>
      </c>
      <c r="F297" s="26" t="s">
        <v>1188</v>
      </c>
      <c r="G297" s="83" t="s">
        <v>46</v>
      </c>
      <c r="H297" s="83" t="s">
        <v>46</v>
      </c>
      <c r="I297" s="100">
        <v>1</v>
      </c>
      <c r="J297" s="100" t="s">
        <v>350</v>
      </c>
      <c r="K297" s="128">
        <v>4200000</v>
      </c>
      <c r="L297" s="129">
        <v>0.19</v>
      </c>
      <c r="M297" s="128">
        <f t="shared" si="36"/>
        <v>798000</v>
      </c>
      <c r="N297" s="128">
        <f t="shared" si="37"/>
        <v>4998000</v>
      </c>
      <c r="O297" s="91" t="s">
        <v>343</v>
      </c>
      <c r="P297" s="91" t="s">
        <v>344</v>
      </c>
      <c r="Q297" s="128">
        <f t="shared" si="35"/>
        <v>4998000</v>
      </c>
      <c r="R297" s="128"/>
      <c r="S297" s="128"/>
      <c r="T297" s="128"/>
      <c r="U297" s="91" t="s">
        <v>1183</v>
      </c>
      <c r="V297" s="91" t="s">
        <v>1102</v>
      </c>
      <c r="W297" s="138">
        <f t="shared" si="30"/>
        <v>4200000</v>
      </c>
      <c r="X297" s="91" t="s">
        <v>1103</v>
      </c>
      <c r="Y297" s="91" t="s">
        <v>963</v>
      </c>
      <c r="Z297" s="91" t="s">
        <v>1104</v>
      </c>
    </row>
    <row r="298" spans="1:26" ht="43" customHeight="1" x14ac:dyDescent="0.35">
      <c r="A298" s="150" t="s">
        <v>1064</v>
      </c>
      <c r="B298" s="91" t="s">
        <v>1003</v>
      </c>
      <c r="C298" s="91" t="s">
        <v>1182</v>
      </c>
      <c r="D298" s="158" t="s">
        <v>1189</v>
      </c>
      <c r="E298" s="91" t="s">
        <v>1141</v>
      </c>
      <c r="F298" s="26" t="s">
        <v>1190</v>
      </c>
      <c r="G298" s="83" t="s">
        <v>48</v>
      </c>
      <c r="H298" s="83" t="s">
        <v>48</v>
      </c>
      <c r="I298" s="100">
        <v>1</v>
      </c>
      <c r="J298" s="100" t="s">
        <v>350</v>
      </c>
      <c r="K298" s="128">
        <v>2500000</v>
      </c>
      <c r="L298" s="129">
        <v>0.19</v>
      </c>
      <c r="M298" s="128">
        <f t="shared" si="36"/>
        <v>475000</v>
      </c>
      <c r="N298" s="128">
        <f t="shared" si="37"/>
        <v>2975000</v>
      </c>
      <c r="O298" s="91" t="s">
        <v>343</v>
      </c>
      <c r="P298" s="91" t="s">
        <v>344</v>
      </c>
      <c r="Q298" s="128">
        <f t="shared" si="35"/>
        <v>2975000</v>
      </c>
      <c r="R298" s="128"/>
      <c r="S298" s="128"/>
      <c r="T298" s="128"/>
      <c r="U298" s="91" t="s">
        <v>1183</v>
      </c>
      <c r="V298" s="91" t="s">
        <v>1102</v>
      </c>
      <c r="W298" s="138">
        <f t="shared" si="30"/>
        <v>2500000</v>
      </c>
      <c r="X298" s="91" t="s">
        <v>1103</v>
      </c>
      <c r="Y298" s="91" t="s">
        <v>963</v>
      </c>
      <c r="Z298" s="91" t="s">
        <v>1104</v>
      </c>
    </row>
    <row r="299" spans="1:26" ht="43" customHeight="1" x14ac:dyDescent="0.35">
      <c r="A299" s="150" t="s">
        <v>1064</v>
      </c>
      <c r="B299" s="91" t="s">
        <v>1003</v>
      </c>
      <c r="C299" s="91" t="s">
        <v>1182</v>
      </c>
      <c r="D299" s="158" t="s">
        <v>1191</v>
      </c>
      <c r="E299" s="91" t="s">
        <v>1192</v>
      </c>
      <c r="F299" s="26" t="s">
        <v>1193</v>
      </c>
      <c r="G299" s="83" t="s">
        <v>44</v>
      </c>
      <c r="H299" s="83" t="s">
        <v>44</v>
      </c>
      <c r="I299" s="100">
        <v>1</v>
      </c>
      <c r="J299" s="100" t="s">
        <v>350</v>
      </c>
      <c r="K299" s="128">
        <v>4000000</v>
      </c>
      <c r="L299" s="129">
        <v>0.19</v>
      </c>
      <c r="M299" s="128">
        <f t="shared" si="36"/>
        <v>760000</v>
      </c>
      <c r="N299" s="128">
        <f t="shared" si="37"/>
        <v>4760000</v>
      </c>
      <c r="O299" s="91" t="s">
        <v>343</v>
      </c>
      <c r="P299" s="91" t="s">
        <v>344</v>
      </c>
      <c r="Q299" s="128">
        <f t="shared" si="35"/>
        <v>4760000</v>
      </c>
      <c r="R299" s="128"/>
      <c r="S299" s="128"/>
      <c r="T299" s="128"/>
      <c r="U299" s="91" t="s">
        <v>1183</v>
      </c>
      <c r="V299" s="91" t="s">
        <v>1102</v>
      </c>
      <c r="W299" s="138">
        <f t="shared" si="30"/>
        <v>4000000</v>
      </c>
      <c r="X299" s="91" t="s">
        <v>1103</v>
      </c>
      <c r="Y299" s="91" t="s">
        <v>963</v>
      </c>
      <c r="Z299" s="91" t="s">
        <v>1104</v>
      </c>
    </row>
    <row r="300" spans="1:26" ht="43" customHeight="1" x14ac:dyDescent="0.35">
      <c r="A300" s="150" t="s">
        <v>1064</v>
      </c>
      <c r="B300" s="91" t="s">
        <v>1003</v>
      </c>
      <c r="C300" s="91" t="s">
        <v>1182</v>
      </c>
      <c r="D300" s="158" t="s">
        <v>1194</v>
      </c>
      <c r="E300" s="91" t="s">
        <v>1195</v>
      </c>
      <c r="F300" s="26" t="s">
        <v>1196</v>
      </c>
      <c r="G300" s="83" t="s">
        <v>44</v>
      </c>
      <c r="H300" s="83" t="s">
        <v>44</v>
      </c>
      <c r="I300" s="100">
        <v>1</v>
      </c>
      <c r="J300" s="100" t="s">
        <v>350</v>
      </c>
      <c r="K300" s="128">
        <v>1800000</v>
      </c>
      <c r="L300" s="129">
        <v>0.19</v>
      </c>
      <c r="M300" s="128">
        <f t="shared" si="36"/>
        <v>342000</v>
      </c>
      <c r="N300" s="128">
        <f t="shared" si="37"/>
        <v>2142000</v>
      </c>
      <c r="O300" s="91" t="s">
        <v>343</v>
      </c>
      <c r="P300" s="91" t="s">
        <v>344</v>
      </c>
      <c r="Q300" s="128">
        <f t="shared" si="35"/>
        <v>2142000</v>
      </c>
      <c r="R300" s="128"/>
      <c r="S300" s="128"/>
      <c r="T300" s="128"/>
      <c r="U300" s="91" t="s">
        <v>1183</v>
      </c>
      <c r="V300" s="91" t="s">
        <v>1102</v>
      </c>
      <c r="W300" s="138">
        <f t="shared" si="30"/>
        <v>1800000</v>
      </c>
      <c r="X300" s="91" t="s">
        <v>1103</v>
      </c>
      <c r="Y300" s="91" t="s">
        <v>963</v>
      </c>
      <c r="Z300" s="91" t="s">
        <v>1104</v>
      </c>
    </row>
    <row r="301" spans="1:26" ht="43" customHeight="1" x14ac:dyDescent="0.35">
      <c r="A301" s="150" t="s">
        <v>1064</v>
      </c>
      <c r="B301" s="91" t="s">
        <v>1003</v>
      </c>
      <c r="C301" s="91" t="s">
        <v>1182</v>
      </c>
      <c r="D301" s="158" t="s">
        <v>1197</v>
      </c>
      <c r="E301" s="91" t="s">
        <v>1198</v>
      </c>
      <c r="F301" s="26" t="s">
        <v>1199</v>
      </c>
      <c r="G301" s="83" t="s">
        <v>44</v>
      </c>
      <c r="H301" s="83" t="s">
        <v>44</v>
      </c>
      <c r="I301" s="100">
        <v>1</v>
      </c>
      <c r="J301" s="100" t="s">
        <v>350</v>
      </c>
      <c r="K301" s="128">
        <v>2800000</v>
      </c>
      <c r="L301" s="129">
        <v>0.19</v>
      </c>
      <c r="M301" s="128">
        <f t="shared" si="36"/>
        <v>532000</v>
      </c>
      <c r="N301" s="128">
        <f t="shared" si="37"/>
        <v>3332000</v>
      </c>
      <c r="O301" s="91" t="s">
        <v>343</v>
      </c>
      <c r="P301" s="91" t="s">
        <v>344</v>
      </c>
      <c r="Q301" s="128">
        <f t="shared" si="35"/>
        <v>3332000</v>
      </c>
      <c r="R301" s="128"/>
      <c r="S301" s="128"/>
      <c r="T301" s="128"/>
      <c r="U301" s="91" t="s">
        <v>1183</v>
      </c>
      <c r="V301" s="91" t="s">
        <v>1102</v>
      </c>
      <c r="W301" s="138">
        <f t="shared" si="30"/>
        <v>2800000</v>
      </c>
      <c r="X301" s="91" t="s">
        <v>1103</v>
      </c>
      <c r="Y301" s="91" t="s">
        <v>963</v>
      </c>
      <c r="Z301" s="91" t="s">
        <v>1104</v>
      </c>
    </row>
    <row r="302" spans="1:26" ht="43" customHeight="1" x14ac:dyDescent="0.35">
      <c r="A302" s="150" t="s">
        <v>1064</v>
      </c>
      <c r="B302" s="91" t="s">
        <v>1003</v>
      </c>
      <c r="C302" s="91" t="s">
        <v>1182</v>
      </c>
      <c r="D302" s="158" t="s">
        <v>1200</v>
      </c>
      <c r="E302" s="26" t="s">
        <v>1201</v>
      </c>
      <c r="F302" s="26" t="s">
        <v>1202</v>
      </c>
      <c r="G302" s="83" t="s">
        <v>44</v>
      </c>
      <c r="H302" s="83" t="s">
        <v>44</v>
      </c>
      <c r="I302" s="100">
        <v>1</v>
      </c>
      <c r="J302" s="100" t="s">
        <v>1068</v>
      </c>
      <c r="K302" s="128">
        <v>1500000</v>
      </c>
      <c r="L302" s="129">
        <v>0.19</v>
      </c>
      <c r="M302" s="128">
        <f t="shared" si="36"/>
        <v>285000</v>
      </c>
      <c r="N302" s="128">
        <f t="shared" si="37"/>
        <v>1785000</v>
      </c>
      <c r="O302" s="91" t="s">
        <v>343</v>
      </c>
      <c r="P302" s="91" t="s">
        <v>344</v>
      </c>
      <c r="Q302" s="128">
        <f t="shared" si="35"/>
        <v>1785000</v>
      </c>
      <c r="R302" s="128"/>
      <c r="S302" s="128"/>
      <c r="T302" s="128"/>
      <c r="U302" s="91" t="s">
        <v>1183</v>
      </c>
      <c r="V302" s="91"/>
      <c r="W302" s="138">
        <f t="shared" si="30"/>
        <v>1500000</v>
      </c>
      <c r="X302" s="91" t="s">
        <v>882</v>
      </c>
      <c r="Y302" s="91" t="s">
        <v>883</v>
      </c>
      <c r="Z302" s="91" t="s">
        <v>883</v>
      </c>
    </row>
    <row r="303" spans="1:26" ht="43" customHeight="1" x14ac:dyDescent="0.35">
      <c r="A303" s="150" t="s">
        <v>1064</v>
      </c>
      <c r="B303" s="91" t="s">
        <v>1003</v>
      </c>
      <c r="C303" s="91" t="s">
        <v>1182</v>
      </c>
      <c r="D303" s="158">
        <v>80141902</v>
      </c>
      <c r="E303" s="91" t="s">
        <v>1066</v>
      </c>
      <c r="F303" s="91" t="s">
        <v>1203</v>
      </c>
      <c r="G303" s="83" t="s">
        <v>49</v>
      </c>
      <c r="H303" s="83" t="s">
        <v>49</v>
      </c>
      <c r="I303" s="100">
        <v>1</v>
      </c>
      <c r="J303" s="100" t="s">
        <v>350</v>
      </c>
      <c r="K303" s="128">
        <f>1650000*1.1</f>
        <v>1815000.0000000002</v>
      </c>
      <c r="L303" s="129">
        <v>0.19</v>
      </c>
      <c r="M303" s="128">
        <f t="shared" si="36"/>
        <v>344850.00000000006</v>
      </c>
      <c r="N303" s="128">
        <f t="shared" si="37"/>
        <v>2159850.0000000005</v>
      </c>
      <c r="O303" s="91" t="s">
        <v>343</v>
      </c>
      <c r="P303" s="91" t="s">
        <v>344</v>
      </c>
      <c r="Q303" s="128">
        <f t="shared" si="35"/>
        <v>2159850.0000000005</v>
      </c>
      <c r="R303" s="128"/>
      <c r="S303" s="128"/>
      <c r="T303" s="128"/>
      <c r="U303" s="91" t="s">
        <v>1183</v>
      </c>
      <c r="V303" s="91" t="s">
        <v>1204</v>
      </c>
      <c r="W303" s="138">
        <f t="shared" si="30"/>
        <v>1815000.0000000005</v>
      </c>
      <c r="X303" s="104" t="s">
        <v>811</v>
      </c>
      <c r="Y303" s="104" t="s">
        <v>811</v>
      </c>
      <c r="Z303" s="104" t="s">
        <v>825</v>
      </c>
    </row>
    <row r="304" spans="1:26" ht="43" customHeight="1" x14ac:dyDescent="0.35">
      <c r="A304" s="150" t="s">
        <v>1064</v>
      </c>
      <c r="B304" s="91" t="s">
        <v>1003</v>
      </c>
      <c r="C304" s="91" t="s">
        <v>1182</v>
      </c>
      <c r="D304" s="155">
        <v>78181703</v>
      </c>
      <c r="E304" s="91" t="s">
        <v>1090</v>
      </c>
      <c r="F304" s="91" t="s">
        <v>1170</v>
      </c>
      <c r="G304" s="83" t="s">
        <v>42</v>
      </c>
      <c r="H304" s="83" t="s">
        <v>42</v>
      </c>
      <c r="I304" s="100">
        <v>12</v>
      </c>
      <c r="J304" s="100" t="s">
        <v>350</v>
      </c>
      <c r="K304" s="138">
        <v>3280899</v>
      </c>
      <c r="L304" s="129">
        <v>0.19</v>
      </c>
      <c r="M304" s="128">
        <f t="shared" si="36"/>
        <v>623370.81000000006</v>
      </c>
      <c r="N304" s="128">
        <f t="shared" si="37"/>
        <v>3904269.81</v>
      </c>
      <c r="O304" s="91" t="s">
        <v>343</v>
      </c>
      <c r="P304" s="91" t="s">
        <v>344</v>
      </c>
      <c r="Q304" s="128">
        <f t="shared" si="35"/>
        <v>3904269.81</v>
      </c>
      <c r="R304" s="128"/>
      <c r="S304" s="128"/>
      <c r="T304" s="128"/>
      <c r="U304" s="91" t="s">
        <v>1183</v>
      </c>
      <c r="V304" s="132" t="s">
        <v>1205</v>
      </c>
      <c r="W304" s="138">
        <f t="shared" si="30"/>
        <v>3280899</v>
      </c>
      <c r="X304" s="91" t="s">
        <v>1093</v>
      </c>
      <c r="Y304" s="91" t="s">
        <v>1094</v>
      </c>
      <c r="Z304" s="91" t="s">
        <v>1094</v>
      </c>
    </row>
    <row r="305" spans="1:26" ht="43" customHeight="1" x14ac:dyDescent="0.35">
      <c r="A305" s="150" t="s">
        <v>1064</v>
      </c>
      <c r="B305" s="91" t="s">
        <v>1003</v>
      </c>
      <c r="C305" s="91" t="s">
        <v>1206</v>
      </c>
      <c r="D305" s="155">
        <v>78181703</v>
      </c>
      <c r="E305" s="91" t="s">
        <v>1090</v>
      </c>
      <c r="F305" s="91" t="s">
        <v>1207</v>
      </c>
      <c r="G305" s="83" t="s">
        <v>42</v>
      </c>
      <c r="H305" s="83" t="s">
        <v>43</v>
      </c>
      <c r="I305" s="100">
        <v>8</v>
      </c>
      <c r="J305" s="100" t="s">
        <v>350</v>
      </c>
      <c r="K305" s="138">
        <v>7382022</v>
      </c>
      <c r="L305" s="129">
        <v>0.19</v>
      </c>
      <c r="M305" s="128">
        <f t="shared" si="36"/>
        <v>1402584.18</v>
      </c>
      <c r="N305" s="128">
        <f t="shared" si="37"/>
        <v>8784606.1799999997</v>
      </c>
      <c r="O305" s="91" t="s">
        <v>343</v>
      </c>
      <c r="P305" s="91" t="s">
        <v>344</v>
      </c>
      <c r="Q305" s="128">
        <f t="shared" si="35"/>
        <v>8784606.1799999997</v>
      </c>
      <c r="R305" s="138"/>
      <c r="S305" s="138"/>
      <c r="T305" s="138"/>
      <c r="U305" s="91" t="s">
        <v>1208</v>
      </c>
      <c r="V305" s="91" t="s">
        <v>1092</v>
      </c>
      <c r="W305" s="138">
        <f t="shared" si="30"/>
        <v>7382022</v>
      </c>
      <c r="X305" s="91" t="s">
        <v>1093</v>
      </c>
      <c r="Y305" s="91" t="s">
        <v>1094</v>
      </c>
      <c r="Z305" s="91" t="s">
        <v>1094</v>
      </c>
    </row>
    <row r="306" spans="1:26" ht="43" customHeight="1" x14ac:dyDescent="0.35">
      <c r="A306" s="150" t="s">
        <v>1064</v>
      </c>
      <c r="B306" s="91" t="s">
        <v>1003</v>
      </c>
      <c r="C306" s="91" t="s">
        <v>1206</v>
      </c>
      <c r="D306" s="151">
        <v>72101511</v>
      </c>
      <c r="E306" s="91" t="s">
        <v>886</v>
      </c>
      <c r="F306" s="91" t="s">
        <v>1209</v>
      </c>
      <c r="G306" s="83" t="s">
        <v>42</v>
      </c>
      <c r="H306" s="83" t="s">
        <v>43</v>
      </c>
      <c r="I306" s="100">
        <v>8</v>
      </c>
      <c r="J306" s="100" t="s">
        <v>1068</v>
      </c>
      <c r="K306" s="138">
        <v>1200000</v>
      </c>
      <c r="L306" s="129">
        <v>0.19</v>
      </c>
      <c r="M306" s="128">
        <f t="shared" si="36"/>
        <v>228000</v>
      </c>
      <c r="N306" s="128">
        <f t="shared" si="37"/>
        <v>1428000</v>
      </c>
      <c r="O306" s="91" t="s">
        <v>343</v>
      </c>
      <c r="P306" s="91" t="s">
        <v>344</v>
      </c>
      <c r="Q306" s="128">
        <f t="shared" si="35"/>
        <v>1428000</v>
      </c>
      <c r="R306" s="138"/>
      <c r="S306" s="138"/>
      <c r="T306" s="138"/>
      <c r="U306" s="91" t="s">
        <v>1208</v>
      </c>
      <c r="V306" s="91" t="s">
        <v>1210</v>
      </c>
      <c r="W306" s="138">
        <f t="shared" si="30"/>
        <v>1200000</v>
      </c>
      <c r="X306" s="91" t="s">
        <v>882</v>
      </c>
      <c r="Y306" s="91" t="s">
        <v>883</v>
      </c>
      <c r="Z306" s="91" t="s">
        <v>889</v>
      </c>
    </row>
    <row r="307" spans="1:26" ht="43" customHeight="1" x14ac:dyDescent="0.35">
      <c r="A307" s="150" t="s">
        <v>1064</v>
      </c>
      <c r="B307" s="91" t="s">
        <v>1003</v>
      </c>
      <c r="C307" s="91" t="s">
        <v>1206</v>
      </c>
      <c r="D307" s="151">
        <v>80141902</v>
      </c>
      <c r="E307" s="91" t="s">
        <v>1066</v>
      </c>
      <c r="F307" s="91" t="s">
        <v>1211</v>
      </c>
      <c r="G307" s="83" t="s">
        <v>49</v>
      </c>
      <c r="H307" s="83" t="s">
        <v>50</v>
      </c>
      <c r="I307" s="100">
        <v>1</v>
      </c>
      <c r="J307" s="100" t="s">
        <v>350</v>
      </c>
      <c r="K307" s="138">
        <v>2000000</v>
      </c>
      <c r="L307" s="129">
        <v>0.19</v>
      </c>
      <c r="M307" s="128">
        <f t="shared" si="36"/>
        <v>380000</v>
      </c>
      <c r="N307" s="128">
        <f t="shared" si="37"/>
        <v>2380000</v>
      </c>
      <c r="O307" s="91" t="s">
        <v>343</v>
      </c>
      <c r="P307" s="91" t="s">
        <v>344</v>
      </c>
      <c r="Q307" s="128">
        <f t="shared" si="35"/>
        <v>2380000</v>
      </c>
      <c r="R307" s="138"/>
      <c r="S307" s="138"/>
      <c r="T307" s="138"/>
      <c r="U307" s="91" t="s">
        <v>1208</v>
      </c>
      <c r="V307" s="91" t="s">
        <v>1212</v>
      </c>
      <c r="W307" s="138">
        <v>2000000</v>
      </c>
      <c r="X307" s="104" t="s">
        <v>811</v>
      </c>
      <c r="Y307" s="104" t="s">
        <v>811</v>
      </c>
      <c r="Z307" s="104" t="s">
        <v>825</v>
      </c>
    </row>
    <row r="308" spans="1:26" ht="43" customHeight="1" x14ac:dyDescent="0.35">
      <c r="A308" s="150" t="s">
        <v>1064</v>
      </c>
      <c r="B308" s="91" t="s">
        <v>1003</v>
      </c>
      <c r="C308" s="91" t="s">
        <v>1206</v>
      </c>
      <c r="D308" s="151">
        <v>80141902</v>
      </c>
      <c r="E308" s="91" t="s">
        <v>1066</v>
      </c>
      <c r="F308" s="91" t="s">
        <v>1213</v>
      </c>
      <c r="G308" s="83" t="s">
        <v>52</v>
      </c>
      <c r="H308" s="83" t="s">
        <v>53</v>
      </c>
      <c r="I308" s="100">
        <v>1</v>
      </c>
      <c r="J308" s="100" t="s">
        <v>350</v>
      </c>
      <c r="K308" s="138">
        <v>2000000</v>
      </c>
      <c r="L308" s="129">
        <v>0.19</v>
      </c>
      <c r="M308" s="128">
        <f t="shared" si="36"/>
        <v>380000</v>
      </c>
      <c r="N308" s="128">
        <f t="shared" si="37"/>
        <v>2380000</v>
      </c>
      <c r="O308" s="91" t="s">
        <v>343</v>
      </c>
      <c r="P308" s="91" t="s">
        <v>344</v>
      </c>
      <c r="Q308" s="128">
        <f t="shared" si="35"/>
        <v>2380000</v>
      </c>
      <c r="R308" s="138"/>
      <c r="S308" s="138"/>
      <c r="T308" s="138"/>
      <c r="U308" s="91" t="s">
        <v>1208</v>
      </c>
      <c r="V308" s="91" t="s">
        <v>1212</v>
      </c>
      <c r="W308" s="138">
        <v>2000000</v>
      </c>
      <c r="X308" s="104" t="s">
        <v>811</v>
      </c>
      <c r="Y308" s="104" t="s">
        <v>811</v>
      </c>
      <c r="Z308" s="104" t="s">
        <v>825</v>
      </c>
    </row>
    <row r="309" spans="1:26" ht="43" customHeight="1" x14ac:dyDescent="0.35">
      <c r="A309" s="150" t="s">
        <v>1064</v>
      </c>
      <c r="B309" s="91" t="s">
        <v>1003</v>
      </c>
      <c r="C309" s="91" t="s">
        <v>1206</v>
      </c>
      <c r="D309" s="151">
        <v>80101510</v>
      </c>
      <c r="E309" s="91" t="s">
        <v>420</v>
      </c>
      <c r="F309" s="91" t="s">
        <v>1214</v>
      </c>
      <c r="G309" s="83" t="s">
        <v>42</v>
      </c>
      <c r="H309" s="83" t="s">
        <v>43</v>
      </c>
      <c r="I309" s="100">
        <v>11</v>
      </c>
      <c r="J309" s="100" t="s">
        <v>350</v>
      </c>
      <c r="K309" s="138">
        <v>30000000</v>
      </c>
      <c r="L309" s="129">
        <v>0.19</v>
      </c>
      <c r="M309" s="128">
        <f t="shared" si="36"/>
        <v>5700000</v>
      </c>
      <c r="N309" s="128">
        <f t="shared" si="37"/>
        <v>35700000</v>
      </c>
      <c r="O309" s="91" t="s">
        <v>343</v>
      </c>
      <c r="P309" s="91" t="s">
        <v>344</v>
      </c>
      <c r="Q309" s="128">
        <f t="shared" si="35"/>
        <v>35700000</v>
      </c>
      <c r="R309" s="138"/>
      <c r="S309" s="138"/>
      <c r="T309" s="138"/>
      <c r="U309" s="91" t="s">
        <v>1208</v>
      </c>
      <c r="V309" s="91" t="s">
        <v>1215</v>
      </c>
      <c r="W309" s="138">
        <v>30000000</v>
      </c>
      <c r="X309" s="91" t="s">
        <v>707</v>
      </c>
      <c r="Y309" s="91" t="s">
        <v>707</v>
      </c>
      <c r="Z309" s="91" t="s">
        <v>1180</v>
      </c>
    </row>
    <row r="310" spans="1:26" ht="43" customHeight="1" x14ac:dyDescent="0.35">
      <c r="A310" s="150" t="s">
        <v>1064</v>
      </c>
      <c r="B310" s="91" t="s">
        <v>1003</v>
      </c>
      <c r="C310" s="91" t="s">
        <v>1206</v>
      </c>
      <c r="D310" s="151">
        <v>82121507</v>
      </c>
      <c r="E310" s="91" t="s">
        <v>1128</v>
      </c>
      <c r="F310" s="91" t="s">
        <v>1216</v>
      </c>
      <c r="G310" s="83" t="s">
        <v>49</v>
      </c>
      <c r="H310" s="83" t="s">
        <v>51</v>
      </c>
      <c r="I310" s="100">
        <v>12</v>
      </c>
      <c r="J310" s="100" t="s">
        <v>350</v>
      </c>
      <c r="K310" s="138">
        <v>13000000</v>
      </c>
      <c r="L310" s="129">
        <v>0.19</v>
      </c>
      <c r="M310" s="128">
        <f t="shared" si="36"/>
        <v>2470000</v>
      </c>
      <c r="N310" s="128">
        <f t="shared" si="37"/>
        <v>15470000</v>
      </c>
      <c r="O310" s="91" t="s">
        <v>343</v>
      </c>
      <c r="P310" s="91" t="s">
        <v>344</v>
      </c>
      <c r="Q310" s="128">
        <f t="shared" si="35"/>
        <v>15470000</v>
      </c>
      <c r="R310" s="138"/>
      <c r="S310" s="138"/>
      <c r="T310" s="138"/>
      <c r="U310" s="91" t="s">
        <v>1208</v>
      </c>
      <c r="V310" s="91" t="s">
        <v>1217</v>
      </c>
      <c r="W310" s="138">
        <v>13000000</v>
      </c>
      <c r="X310" s="91" t="s">
        <v>707</v>
      </c>
      <c r="Y310" s="91" t="s">
        <v>707</v>
      </c>
      <c r="Z310" s="91" t="s">
        <v>1131</v>
      </c>
    </row>
    <row r="311" spans="1:26" ht="43" customHeight="1" x14ac:dyDescent="0.35">
      <c r="A311" s="150" t="s">
        <v>1064</v>
      </c>
      <c r="B311" s="91" t="s">
        <v>1003</v>
      </c>
      <c r="C311" s="91" t="s">
        <v>1206</v>
      </c>
      <c r="D311" s="151">
        <v>46191601</v>
      </c>
      <c r="E311" s="91" t="s">
        <v>906</v>
      </c>
      <c r="F311" s="91" t="s">
        <v>1218</v>
      </c>
      <c r="G311" s="83" t="s">
        <v>43</v>
      </c>
      <c r="H311" s="83" t="s">
        <v>45</v>
      </c>
      <c r="I311" s="100">
        <v>1</v>
      </c>
      <c r="J311" s="100" t="s">
        <v>1068</v>
      </c>
      <c r="K311" s="138">
        <v>500000</v>
      </c>
      <c r="L311" s="129">
        <v>0.19</v>
      </c>
      <c r="M311" s="128">
        <f t="shared" si="36"/>
        <v>95000</v>
      </c>
      <c r="N311" s="128">
        <f t="shared" si="37"/>
        <v>595000</v>
      </c>
      <c r="O311" s="91" t="s">
        <v>343</v>
      </c>
      <c r="P311" s="91" t="s">
        <v>344</v>
      </c>
      <c r="Q311" s="128">
        <f t="shared" si="35"/>
        <v>595000</v>
      </c>
      <c r="R311" s="138"/>
      <c r="S311" s="138"/>
      <c r="T311" s="138"/>
      <c r="U311" s="91" t="s">
        <v>1208</v>
      </c>
      <c r="V311" s="91" t="s">
        <v>1219</v>
      </c>
      <c r="W311" s="138">
        <f>+Q311/1.19</f>
        <v>500000</v>
      </c>
      <c r="X311" s="91" t="s">
        <v>861</v>
      </c>
      <c r="Y311" s="91" t="s">
        <v>861</v>
      </c>
      <c r="Z311" s="91" t="s">
        <v>861</v>
      </c>
    </row>
    <row r="312" spans="1:26" ht="43" customHeight="1" x14ac:dyDescent="0.35">
      <c r="A312" s="150" t="s">
        <v>1064</v>
      </c>
      <c r="B312" s="91" t="s">
        <v>1003</v>
      </c>
      <c r="C312" s="91" t="s">
        <v>1206</v>
      </c>
      <c r="D312" s="151">
        <v>90101600</v>
      </c>
      <c r="E312" s="91" t="s">
        <v>1082</v>
      </c>
      <c r="F312" s="91" t="s">
        <v>1083</v>
      </c>
      <c r="G312" s="83" t="s">
        <v>45</v>
      </c>
      <c r="H312" s="83" t="s">
        <v>45</v>
      </c>
      <c r="I312" s="100">
        <v>1</v>
      </c>
      <c r="J312" s="100" t="s">
        <v>350</v>
      </c>
      <c r="K312" s="128">
        <v>5500000</v>
      </c>
      <c r="L312" s="154">
        <v>0.19</v>
      </c>
      <c r="M312" s="128">
        <f>K312*L312</f>
        <v>1045000</v>
      </c>
      <c r="N312" s="128">
        <f>M312+K312</f>
        <v>6545000</v>
      </c>
      <c r="O312" s="91" t="s">
        <v>343</v>
      </c>
      <c r="P312" s="91" t="s">
        <v>344</v>
      </c>
      <c r="Q312" s="128">
        <f t="shared" si="35"/>
        <v>6545000</v>
      </c>
      <c r="R312" s="128"/>
      <c r="S312" s="128"/>
      <c r="T312" s="128"/>
      <c r="U312" s="91" t="s">
        <v>1208</v>
      </c>
      <c r="V312" s="91"/>
      <c r="W312" s="98">
        <f>K312</f>
        <v>5500000</v>
      </c>
      <c r="X312" s="91" t="s">
        <v>657</v>
      </c>
      <c r="Y312" s="91" t="s">
        <v>658</v>
      </c>
      <c r="Z312" s="91" t="s">
        <v>659</v>
      </c>
    </row>
    <row r="313" spans="1:26" ht="43" customHeight="1" x14ac:dyDescent="0.35">
      <c r="A313" s="150" t="s">
        <v>1064</v>
      </c>
      <c r="B313" s="91" t="s">
        <v>1003</v>
      </c>
      <c r="C313" s="91" t="s">
        <v>1206</v>
      </c>
      <c r="D313" s="151">
        <v>80141902</v>
      </c>
      <c r="E313" s="91" t="s">
        <v>1066</v>
      </c>
      <c r="F313" s="91" t="s">
        <v>1084</v>
      </c>
      <c r="G313" s="100" t="s">
        <v>53</v>
      </c>
      <c r="H313" s="83" t="s">
        <v>53</v>
      </c>
      <c r="I313" s="100">
        <v>1</v>
      </c>
      <c r="J313" s="100" t="s">
        <v>350</v>
      </c>
      <c r="K313" s="128">
        <v>5500000</v>
      </c>
      <c r="L313" s="154">
        <v>0.19</v>
      </c>
      <c r="M313" s="128">
        <f>K313*L313</f>
        <v>1045000</v>
      </c>
      <c r="N313" s="128">
        <f>M313+K313</f>
        <v>6545000</v>
      </c>
      <c r="O313" s="91" t="s">
        <v>343</v>
      </c>
      <c r="P313" s="91" t="s">
        <v>344</v>
      </c>
      <c r="Q313" s="128">
        <f t="shared" si="35"/>
        <v>6545000</v>
      </c>
      <c r="R313" s="128"/>
      <c r="S313" s="128"/>
      <c r="T313" s="128"/>
      <c r="U313" s="91" t="s">
        <v>1208</v>
      </c>
      <c r="V313" s="91"/>
      <c r="W313" s="98">
        <f>K313</f>
        <v>5500000</v>
      </c>
      <c r="X313" s="91" t="s">
        <v>657</v>
      </c>
      <c r="Y313" s="91" t="s">
        <v>658</v>
      </c>
      <c r="Z313" s="91" t="s">
        <v>659</v>
      </c>
    </row>
    <row r="314" spans="1:26" ht="43" customHeight="1" x14ac:dyDescent="0.35">
      <c r="A314" s="150" t="s">
        <v>1064</v>
      </c>
      <c r="B314" s="91" t="s">
        <v>1003</v>
      </c>
      <c r="C314" s="91" t="s">
        <v>1220</v>
      </c>
      <c r="D314" s="151">
        <v>90101600</v>
      </c>
      <c r="E314" s="91" t="s">
        <v>1082</v>
      </c>
      <c r="F314" s="91" t="s">
        <v>1083</v>
      </c>
      <c r="G314" s="83" t="s">
        <v>45</v>
      </c>
      <c r="H314" s="83" t="s">
        <v>45</v>
      </c>
      <c r="I314" s="100">
        <v>1</v>
      </c>
      <c r="J314" s="100" t="s">
        <v>350</v>
      </c>
      <c r="K314" s="128">
        <v>9000000</v>
      </c>
      <c r="L314" s="154">
        <v>0.19</v>
      </c>
      <c r="M314" s="128">
        <f>K314*L314</f>
        <v>1710000</v>
      </c>
      <c r="N314" s="128">
        <f>M314+K314</f>
        <v>10710000</v>
      </c>
      <c r="O314" s="91" t="s">
        <v>343</v>
      </c>
      <c r="P314" s="91" t="s">
        <v>344</v>
      </c>
      <c r="Q314" s="128">
        <f t="shared" si="35"/>
        <v>10710000</v>
      </c>
      <c r="R314" s="128"/>
      <c r="S314" s="128"/>
      <c r="T314" s="128"/>
      <c r="U314" s="91" t="s">
        <v>1221</v>
      </c>
      <c r="V314" s="91"/>
      <c r="W314" s="98">
        <f>K314</f>
        <v>9000000</v>
      </c>
      <c r="X314" s="91" t="s">
        <v>657</v>
      </c>
      <c r="Y314" s="91" t="s">
        <v>658</v>
      </c>
      <c r="Z314" s="91" t="s">
        <v>659</v>
      </c>
    </row>
    <row r="315" spans="1:26" ht="43" customHeight="1" x14ac:dyDescent="0.35">
      <c r="A315" s="150" t="s">
        <v>1064</v>
      </c>
      <c r="B315" s="91" t="s">
        <v>1003</v>
      </c>
      <c r="C315" s="91" t="s">
        <v>1220</v>
      </c>
      <c r="D315" s="151">
        <v>80141902</v>
      </c>
      <c r="E315" s="91" t="s">
        <v>1066</v>
      </c>
      <c r="F315" s="91" t="s">
        <v>1084</v>
      </c>
      <c r="G315" s="100" t="s">
        <v>53</v>
      </c>
      <c r="H315" s="83" t="s">
        <v>53</v>
      </c>
      <c r="I315" s="100">
        <v>1</v>
      </c>
      <c r="J315" s="100" t="s">
        <v>350</v>
      </c>
      <c r="K315" s="128">
        <v>9000000</v>
      </c>
      <c r="L315" s="154">
        <v>0.19</v>
      </c>
      <c r="M315" s="128">
        <f>K315*L315</f>
        <v>1710000</v>
      </c>
      <c r="N315" s="128">
        <f>M315+K315</f>
        <v>10710000</v>
      </c>
      <c r="O315" s="91" t="s">
        <v>343</v>
      </c>
      <c r="P315" s="91" t="s">
        <v>344</v>
      </c>
      <c r="Q315" s="128">
        <f t="shared" si="35"/>
        <v>10710000</v>
      </c>
      <c r="R315" s="128"/>
      <c r="S315" s="128"/>
      <c r="T315" s="128"/>
      <c r="U315" s="91" t="s">
        <v>1221</v>
      </c>
      <c r="V315" s="91"/>
      <c r="W315" s="98">
        <f>K315</f>
        <v>9000000</v>
      </c>
      <c r="X315" s="91" t="s">
        <v>657</v>
      </c>
      <c r="Y315" s="91" t="s">
        <v>658</v>
      </c>
      <c r="Z315" s="91" t="s">
        <v>659</v>
      </c>
    </row>
    <row r="316" spans="1:26" ht="43" customHeight="1" x14ac:dyDescent="0.35">
      <c r="A316" s="150" t="s">
        <v>1064</v>
      </c>
      <c r="B316" s="91" t="s">
        <v>1003</v>
      </c>
      <c r="C316" s="91" t="s">
        <v>1220</v>
      </c>
      <c r="D316" s="158" t="s">
        <v>1222</v>
      </c>
      <c r="E316" s="91" t="s">
        <v>1171</v>
      </c>
      <c r="F316" s="91" t="s">
        <v>1223</v>
      </c>
      <c r="G316" s="83" t="s">
        <v>43</v>
      </c>
      <c r="H316" s="83" t="s">
        <v>43</v>
      </c>
      <c r="I316" s="100">
        <v>1</v>
      </c>
      <c r="J316" s="100" t="s">
        <v>350</v>
      </c>
      <c r="K316" s="128">
        <v>3000000</v>
      </c>
      <c r="L316" s="129">
        <v>0.19</v>
      </c>
      <c r="M316" s="128">
        <f t="shared" ref="M316:M330" si="38">+K316*L316</f>
        <v>570000</v>
      </c>
      <c r="N316" s="128">
        <f t="shared" ref="N316:N330" si="39">+K316+M316</f>
        <v>3570000</v>
      </c>
      <c r="O316" s="91" t="s">
        <v>343</v>
      </c>
      <c r="P316" s="91" t="s">
        <v>344</v>
      </c>
      <c r="Q316" s="128">
        <f t="shared" si="35"/>
        <v>3570000</v>
      </c>
      <c r="R316" s="128"/>
      <c r="S316" s="128"/>
      <c r="T316" s="128"/>
      <c r="U316" s="91" t="s">
        <v>1224</v>
      </c>
      <c r="V316" s="91" t="s">
        <v>1102</v>
      </c>
      <c r="W316" s="138">
        <f t="shared" ref="W316:W326" si="40">+Q316/1.19</f>
        <v>3000000</v>
      </c>
      <c r="X316" s="91" t="s">
        <v>1103</v>
      </c>
      <c r="Y316" s="91" t="s">
        <v>963</v>
      </c>
      <c r="Z316" s="91" t="s">
        <v>1104</v>
      </c>
    </row>
    <row r="317" spans="1:26" ht="43" customHeight="1" x14ac:dyDescent="0.35">
      <c r="A317" s="150" t="s">
        <v>1064</v>
      </c>
      <c r="B317" s="91" t="s">
        <v>1003</v>
      </c>
      <c r="C317" s="91" t="s">
        <v>1220</v>
      </c>
      <c r="D317" s="155">
        <v>72151302</v>
      </c>
      <c r="E317" s="91" t="s">
        <v>1225</v>
      </c>
      <c r="F317" s="91" t="s">
        <v>1226</v>
      </c>
      <c r="G317" s="83" t="s">
        <v>43</v>
      </c>
      <c r="H317" s="83" t="s">
        <v>43</v>
      </c>
      <c r="I317" s="100">
        <v>2</v>
      </c>
      <c r="J317" s="100" t="s">
        <v>350</v>
      </c>
      <c r="K317" s="159">
        <v>10000000</v>
      </c>
      <c r="L317" s="129">
        <v>0.19</v>
      </c>
      <c r="M317" s="128">
        <f t="shared" si="38"/>
        <v>1900000</v>
      </c>
      <c r="N317" s="128">
        <f t="shared" si="39"/>
        <v>11900000</v>
      </c>
      <c r="O317" s="91" t="s">
        <v>343</v>
      </c>
      <c r="P317" s="91" t="s">
        <v>344</v>
      </c>
      <c r="Q317" s="128">
        <f t="shared" si="35"/>
        <v>11900000</v>
      </c>
      <c r="R317" s="128"/>
      <c r="S317" s="128"/>
      <c r="T317" s="128"/>
      <c r="U317" s="91" t="s">
        <v>1224</v>
      </c>
      <c r="V317" s="91" t="s">
        <v>1227</v>
      </c>
      <c r="W317" s="138">
        <f t="shared" si="40"/>
        <v>10000000</v>
      </c>
      <c r="X317" s="91" t="s">
        <v>983</v>
      </c>
      <c r="Y317" s="91" t="s">
        <v>983</v>
      </c>
      <c r="Z317" s="91" t="s">
        <v>1110</v>
      </c>
    </row>
    <row r="318" spans="1:26" ht="43" customHeight="1" x14ac:dyDescent="0.35">
      <c r="A318" s="150" t="s">
        <v>1064</v>
      </c>
      <c r="B318" s="91" t="s">
        <v>1003</v>
      </c>
      <c r="C318" s="91" t="s">
        <v>1220</v>
      </c>
      <c r="D318" s="155">
        <v>72152402</v>
      </c>
      <c r="E318" s="91" t="s">
        <v>1228</v>
      </c>
      <c r="F318" s="91" t="s">
        <v>1229</v>
      </c>
      <c r="G318" s="83" t="s">
        <v>44</v>
      </c>
      <c r="H318" s="83" t="s">
        <v>44</v>
      </c>
      <c r="I318" s="100">
        <v>1</v>
      </c>
      <c r="J318" s="100" t="s">
        <v>350</v>
      </c>
      <c r="K318" s="128">
        <v>3000000</v>
      </c>
      <c r="L318" s="129">
        <v>0.19</v>
      </c>
      <c r="M318" s="128">
        <f t="shared" si="38"/>
        <v>570000</v>
      </c>
      <c r="N318" s="128">
        <f t="shared" si="39"/>
        <v>3570000</v>
      </c>
      <c r="O318" s="91" t="s">
        <v>343</v>
      </c>
      <c r="P318" s="91" t="s">
        <v>344</v>
      </c>
      <c r="Q318" s="128">
        <f t="shared" si="35"/>
        <v>3570000</v>
      </c>
      <c r="R318" s="128"/>
      <c r="S318" s="128"/>
      <c r="T318" s="128"/>
      <c r="U318" s="91" t="s">
        <v>1224</v>
      </c>
      <c r="V318" s="91" t="s">
        <v>1102</v>
      </c>
      <c r="W318" s="138">
        <f t="shared" si="40"/>
        <v>3000000</v>
      </c>
      <c r="X318" s="91" t="s">
        <v>983</v>
      </c>
      <c r="Y318" s="91" t="s">
        <v>983</v>
      </c>
      <c r="Z318" s="91" t="s">
        <v>1110</v>
      </c>
    </row>
    <row r="319" spans="1:26" ht="43" customHeight="1" x14ac:dyDescent="0.35">
      <c r="A319" s="150" t="s">
        <v>1064</v>
      </c>
      <c r="B319" s="91" t="s">
        <v>1003</v>
      </c>
      <c r="C319" s="91" t="s">
        <v>1220</v>
      </c>
      <c r="D319" s="155">
        <v>72101511</v>
      </c>
      <c r="E319" s="91" t="s">
        <v>886</v>
      </c>
      <c r="F319" s="91" t="s">
        <v>1230</v>
      </c>
      <c r="G319" s="83" t="s">
        <v>42</v>
      </c>
      <c r="H319" s="83" t="s">
        <v>42</v>
      </c>
      <c r="I319" s="100">
        <v>12</v>
      </c>
      <c r="J319" s="100" t="s">
        <v>350</v>
      </c>
      <c r="K319" s="128">
        <v>5500000</v>
      </c>
      <c r="L319" s="129">
        <v>0.19</v>
      </c>
      <c r="M319" s="128">
        <f t="shared" si="38"/>
        <v>1045000</v>
      </c>
      <c r="N319" s="128">
        <f t="shared" si="39"/>
        <v>6545000</v>
      </c>
      <c r="O319" s="91" t="s">
        <v>1231</v>
      </c>
      <c r="P319" s="91" t="s">
        <v>344</v>
      </c>
      <c r="Q319" s="128">
        <f t="shared" si="35"/>
        <v>6545000</v>
      </c>
      <c r="R319" s="128"/>
      <c r="S319" s="128"/>
      <c r="T319" s="128"/>
      <c r="U319" s="91" t="s">
        <v>1224</v>
      </c>
      <c r="V319" s="91"/>
      <c r="W319" s="138">
        <f t="shared" si="40"/>
        <v>5500000</v>
      </c>
      <c r="X319" s="91" t="s">
        <v>882</v>
      </c>
      <c r="Y319" s="91" t="s">
        <v>883</v>
      </c>
      <c r="Z319" s="91" t="s">
        <v>889</v>
      </c>
    </row>
    <row r="320" spans="1:26" ht="43" customHeight="1" x14ac:dyDescent="0.35">
      <c r="A320" s="150" t="s">
        <v>1064</v>
      </c>
      <c r="B320" s="91" t="s">
        <v>1003</v>
      </c>
      <c r="C320" s="91" t="s">
        <v>1220</v>
      </c>
      <c r="D320" s="155">
        <v>72101509</v>
      </c>
      <c r="E320" s="91" t="s">
        <v>1232</v>
      </c>
      <c r="F320" s="91" t="s">
        <v>1233</v>
      </c>
      <c r="G320" s="83" t="s">
        <v>52</v>
      </c>
      <c r="H320" s="83" t="s">
        <v>52</v>
      </c>
      <c r="I320" s="100">
        <v>1</v>
      </c>
      <c r="J320" s="100" t="s">
        <v>350</v>
      </c>
      <c r="K320" s="128">
        <v>3500000</v>
      </c>
      <c r="L320" s="129">
        <v>0.19</v>
      </c>
      <c r="M320" s="128">
        <f t="shared" si="38"/>
        <v>665000</v>
      </c>
      <c r="N320" s="128">
        <f t="shared" si="39"/>
        <v>4165000</v>
      </c>
      <c r="O320" s="91" t="s">
        <v>343</v>
      </c>
      <c r="P320" s="91" t="s">
        <v>344</v>
      </c>
      <c r="Q320" s="128">
        <f t="shared" si="35"/>
        <v>4165000</v>
      </c>
      <c r="R320" s="128"/>
      <c r="S320" s="128"/>
      <c r="T320" s="128"/>
      <c r="U320" s="91" t="s">
        <v>1224</v>
      </c>
      <c r="V320" s="91"/>
      <c r="W320" s="138">
        <f t="shared" si="40"/>
        <v>3500000</v>
      </c>
      <c r="X320" s="104"/>
      <c r="Y320" s="104"/>
      <c r="Z320" s="104"/>
    </row>
    <row r="321" spans="1:26" ht="43" customHeight="1" x14ac:dyDescent="0.35">
      <c r="A321" s="150" t="s">
        <v>1064</v>
      </c>
      <c r="B321" s="91" t="s">
        <v>1003</v>
      </c>
      <c r="C321" s="91" t="s">
        <v>1220</v>
      </c>
      <c r="D321" s="155">
        <v>72153613</v>
      </c>
      <c r="E321" s="91" t="s">
        <v>1234</v>
      </c>
      <c r="F321" s="91" t="s">
        <v>1235</v>
      </c>
      <c r="G321" s="83" t="s">
        <v>47</v>
      </c>
      <c r="H321" s="83" t="s">
        <v>47</v>
      </c>
      <c r="I321" s="100">
        <v>2</v>
      </c>
      <c r="J321" s="100" t="s">
        <v>350</v>
      </c>
      <c r="K321" s="128">
        <v>3500000</v>
      </c>
      <c r="L321" s="129">
        <v>0.19</v>
      </c>
      <c r="M321" s="128">
        <f t="shared" si="38"/>
        <v>665000</v>
      </c>
      <c r="N321" s="128">
        <f t="shared" si="39"/>
        <v>4165000</v>
      </c>
      <c r="O321" s="91" t="s">
        <v>343</v>
      </c>
      <c r="P321" s="91" t="s">
        <v>344</v>
      </c>
      <c r="Q321" s="128">
        <f t="shared" si="35"/>
        <v>4165000</v>
      </c>
      <c r="R321" s="128"/>
      <c r="S321" s="128"/>
      <c r="T321" s="128"/>
      <c r="U321" s="91" t="s">
        <v>1224</v>
      </c>
      <c r="V321" s="91"/>
      <c r="W321" s="138">
        <f t="shared" si="40"/>
        <v>3500000</v>
      </c>
      <c r="X321" s="104"/>
      <c r="Y321" s="104"/>
      <c r="Z321" s="104"/>
    </row>
    <row r="322" spans="1:26" ht="43" customHeight="1" x14ac:dyDescent="0.35">
      <c r="A322" s="150" t="s">
        <v>1064</v>
      </c>
      <c r="B322" s="91" t="s">
        <v>1003</v>
      </c>
      <c r="C322" s="91" t="s">
        <v>1220</v>
      </c>
      <c r="D322" s="155">
        <v>72154066</v>
      </c>
      <c r="E322" s="91" t="s">
        <v>1138</v>
      </c>
      <c r="F322" s="91" t="s">
        <v>1236</v>
      </c>
      <c r="G322" s="83" t="s">
        <v>42</v>
      </c>
      <c r="H322" s="83" t="s">
        <v>42</v>
      </c>
      <c r="I322" s="100">
        <v>2</v>
      </c>
      <c r="J322" s="100" t="s">
        <v>350</v>
      </c>
      <c r="K322" s="128">
        <v>3500000</v>
      </c>
      <c r="L322" s="129">
        <v>0.19</v>
      </c>
      <c r="M322" s="128">
        <f t="shared" si="38"/>
        <v>665000</v>
      </c>
      <c r="N322" s="128">
        <f t="shared" si="39"/>
        <v>4165000</v>
      </c>
      <c r="O322" s="91" t="s">
        <v>343</v>
      </c>
      <c r="P322" s="91" t="s">
        <v>344</v>
      </c>
      <c r="Q322" s="128">
        <f t="shared" si="35"/>
        <v>4165000</v>
      </c>
      <c r="R322" s="128"/>
      <c r="S322" s="128"/>
      <c r="T322" s="128"/>
      <c r="U322" s="91" t="s">
        <v>1224</v>
      </c>
      <c r="V322" s="91"/>
      <c r="W322" s="138">
        <f t="shared" si="40"/>
        <v>3500000</v>
      </c>
      <c r="X322" s="91"/>
      <c r="Y322" s="91"/>
      <c r="Z322" s="91"/>
    </row>
    <row r="323" spans="1:26" ht="43" customHeight="1" x14ac:dyDescent="0.35">
      <c r="A323" s="150" t="s">
        <v>1064</v>
      </c>
      <c r="B323" s="91" t="s">
        <v>1003</v>
      </c>
      <c r="C323" s="91" t="s">
        <v>1220</v>
      </c>
      <c r="D323" s="155">
        <v>80141902</v>
      </c>
      <c r="E323" s="91" t="s">
        <v>1066</v>
      </c>
      <c r="F323" s="91" t="s">
        <v>1237</v>
      </c>
      <c r="G323" s="83" t="s">
        <v>52</v>
      </c>
      <c r="H323" s="83" t="s">
        <v>52</v>
      </c>
      <c r="I323" s="100">
        <v>1</v>
      </c>
      <c r="J323" s="100" t="s">
        <v>350</v>
      </c>
      <c r="K323" s="128">
        <v>7000000</v>
      </c>
      <c r="L323" s="129">
        <v>0.19</v>
      </c>
      <c r="M323" s="128">
        <f t="shared" si="38"/>
        <v>1330000</v>
      </c>
      <c r="N323" s="128">
        <f t="shared" si="39"/>
        <v>8330000</v>
      </c>
      <c r="O323" s="91" t="s">
        <v>343</v>
      </c>
      <c r="P323" s="91" t="s">
        <v>344</v>
      </c>
      <c r="Q323" s="128">
        <f t="shared" si="35"/>
        <v>8330000</v>
      </c>
      <c r="R323" s="128"/>
      <c r="S323" s="128"/>
      <c r="T323" s="128"/>
      <c r="U323" s="91" t="s">
        <v>1224</v>
      </c>
      <c r="V323" s="91"/>
      <c r="W323" s="138">
        <f t="shared" si="40"/>
        <v>7000000</v>
      </c>
      <c r="X323" s="104" t="s">
        <v>811</v>
      </c>
      <c r="Y323" s="104" t="s">
        <v>811</v>
      </c>
      <c r="Z323" s="104" t="s">
        <v>825</v>
      </c>
    </row>
    <row r="324" spans="1:26" ht="43" customHeight="1" x14ac:dyDescent="0.35">
      <c r="A324" s="150" t="s">
        <v>1064</v>
      </c>
      <c r="B324" s="91" t="s">
        <v>1003</v>
      </c>
      <c r="C324" s="91" t="s">
        <v>1220</v>
      </c>
      <c r="D324" s="155">
        <v>72154066</v>
      </c>
      <c r="E324" s="91" t="s">
        <v>1138</v>
      </c>
      <c r="F324" s="91" t="s">
        <v>1238</v>
      </c>
      <c r="G324" s="83" t="s">
        <v>44</v>
      </c>
      <c r="H324" s="83" t="s">
        <v>44</v>
      </c>
      <c r="I324" s="100">
        <v>2</v>
      </c>
      <c r="J324" s="100" t="s">
        <v>350</v>
      </c>
      <c r="K324" s="128">
        <v>2000000</v>
      </c>
      <c r="L324" s="129">
        <v>0.19</v>
      </c>
      <c r="M324" s="128">
        <f t="shared" si="38"/>
        <v>380000</v>
      </c>
      <c r="N324" s="128">
        <f t="shared" si="39"/>
        <v>2380000</v>
      </c>
      <c r="O324" s="91" t="s">
        <v>343</v>
      </c>
      <c r="P324" s="91" t="s">
        <v>344</v>
      </c>
      <c r="Q324" s="128">
        <f t="shared" si="35"/>
        <v>2380000</v>
      </c>
      <c r="R324" s="128"/>
      <c r="S324" s="128"/>
      <c r="T324" s="128"/>
      <c r="U324" s="91" t="s">
        <v>1224</v>
      </c>
      <c r="V324" s="91" t="s">
        <v>1239</v>
      </c>
      <c r="W324" s="138">
        <f t="shared" si="40"/>
        <v>2000000</v>
      </c>
      <c r="X324" s="91" t="s">
        <v>882</v>
      </c>
      <c r="Y324" s="91" t="s">
        <v>883</v>
      </c>
      <c r="Z324" s="91" t="s">
        <v>883</v>
      </c>
    </row>
    <row r="325" spans="1:26" ht="43" customHeight="1" x14ac:dyDescent="0.35">
      <c r="A325" s="150" t="s">
        <v>1064</v>
      </c>
      <c r="B325" s="91" t="s">
        <v>1003</v>
      </c>
      <c r="C325" s="91" t="s">
        <v>1220</v>
      </c>
      <c r="D325" s="151">
        <v>78181703</v>
      </c>
      <c r="E325" s="91" t="s">
        <v>1090</v>
      </c>
      <c r="F325" s="91" t="s">
        <v>1240</v>
      </c>
      <c r="G325" s="83" t="s">
        <v>42</v>
      </c>
      <c r="H325" s="83" t="s">
        <v>42</v>
      </c>
      <c r="I325" s="100">
        <v>12</v>
      </c>
      <c r="J325" s="100" t="s">
        <v>350</v>
      </c>
      <c r="K325" s="128">
        <v>13943820</v>
      </c>
      <c r="L325" s="129">
        <v>0.19</v>
      </c>
      <c r="M325" s="128">
        <f t="shared" si="38"/>
        <v>2649325.7999999998</v>
      </c>
      <c r="N325" s="128">
        <f t="shared" si="39"/>
        <v>16593145.800000001</v>
      </c>
      <c r="O325" s="91" t="s">
        <v>343</v>
      </c>
      <c r="P325" s="91" t="s">
        <v>344</v>
      </c>
      <c r="Q325" s="128">
        <f t="shared" si="35"/>
        <v>16593145.800000001</v>
      </c>
      <c r="R325" s="128"/>
      <c r="S325" s="128"/>
      <c r="T325" s="128"/>
      <c r="U325" s="91" t="s">
        <v>1224</v>
      </c>
      <c r="V325" s="132" t="s">
        <v>1205</v>
      </c>
      <c r="W325" s="138">
        <f t="shared" si="40"/>
        <v>13943820.000000002</v>
      </c>
      <c r="X325" s="91" t="s">
        <v>1093</v>
      </c>
      <c r="Y325" s="91" t="s">
        <v>1094</v>
      </c>
      <c r="Z325" s="91" t="s">
        <v>1094</v>
      </c>
    </row>
    <row r="326" spans="1:26" ht="43" customHeight="1" x14ac:dyDescent="0.35">
      <c r="A326" s="150" t="s">
        <v>1064</v>
      </c>
      <c r="B326" s="91" t="s">
        <v>1003</v>
      </c>
      <c r="C326" s="91" t="s">
        <v>1241</v>
      </c>
      <c r="D326" s="151">
        <v>80141902</v>
      </c>
      <c r="E326" s="91" t="s">
        <v>1066</v>
      </c>
      <c r="F326" s="91" t="s">
        <v>1242</v>
      </c>
      <c r="G326" s="83" t="s">
        <v>50</v>
      </c>
      <c r="H326" s="83" t="s">
        <v>50</v>
      </c>
      <c r="I326" s="100">
        <v>1</v>
      </c>
      <c r="J326" s="100" t="s">
        <v>1068</v>
      </c>
      <c r="K326" s="138">
        <v>600000</v>
      </c>
      <c r="L326" s="129">
        <v>0.19</v>
      </c>
      <c r="M326" s="128">
        <f t="shared" si="38"/>
        <v>114000</v>
      </c>
      <c r="N326" s="128">
        <f t="shared" si="39"/>
        <v>714000</v>
      </c>
      <c r="O326" s="91" t="s">
        <v>343</v>
      </c>
      <c r="P326" s="91" t="s">
        <v>344</v>
      </c>
      <c r="Q326" s="128">
        <f t="shared" si="35"/>
        <v>714000</v>
      </c>
      <c r="R326" s="128"/>
      <c r="S326" s="128"/>
      <c r="T326" s="128"/>
      <c r="U326" s="91" t="s">
        <v>1243</v>
      </c>
      <c r="V326" s="91"/>
      <c r="W326" s="138">
        <f t="shared" si="40"/>
        <v>600000</v>
      </c>
      <c r="X326" s="104" t="s">
        <v>811</v>
      </c>
      <c r="Y326" s="104" t="s">
        <v>811</v>
      </c>
      <c r="Z326" s="104" t="s">
        <v>825</v>
      </c>
    </row>
    <row r="327" spans="1:26" ht="43" customHeight="1" x14ac:dyDescent="0.35">
      <c r="A327" s="150" t="s">
        <v>1064</v>
      </c>
      <c r="B327" s="91" t="s">
        <v>1003</v>
      </c>
      <c r="C327" s="91" t="s">
        <v>1241</v>
      </c>
      <c r="D327" s="151">
        <v>78181703</v>
      </c>
      <c r="E327" s="91" t="s">
        <v>1090</v>
      </c>
      <c r="F327" s="91" t="s">
        <v>1240</v>
      </c>
      <c r="G327" s="83" t="s">
        <v>42</v>
      </c>
      <c r="H327" s="83" t="s">
        <v>43</v>
      </c>
      <c r="I327" s="100">
        <v>8</v>
      </c>
      <c r="J327" s="100" t="s">
        <v>350</v>
      </c>
      <c r="K327" s="128">
        <v>3280899</v>
      </c>
      <c r="L327" s="129">
        <v>0</v>
      </c>
      <c r="M327" s="128">
        <f t="shared" si="38"/>
        <v>0</v>
      </c>
      <c r="N327" s="128">
        <f t="shared" si="39"/>
        <v>3280899</v>
      </c>
      <c r="O327" s="91" t="s">
        <v>343</v>
      </c>
      <c r="P327" s="91" t="s">
        <v>344</v>
      </c>
      <c r="Q327" s="128">
        <f t="shared" si="35"/>
        <v>3280899</v>
      </c>
      <c r="R327" s="128"/>
      <c r="S327" s="128"/>
      <c r="T327" s="128"/>
      <c r="U327" s="91" t="s">
        <v>1243</v>
      </c>
      <c r="V327" s="91" t="s">
        <v>1092</v>
      </c>
      <c r="W327" s="138">
        <f>+K327</f>
        <v>3280899</v>
      </c>
      <c r="X327" s="91" t="s">
        <v>1093</v>
      </c>
      <c r="Y327" s="91" t="s">
        <v>1094</v>
      </c>
      <c r="Z327" s="91" t="s">
        <v>1094</v>
      </c>
    </row>
    <row r="328" spans="1:26" ht="43" customHeight="1" x14ac:dyDescent="0.35">
      <c r="A328" s="150" t="s">
        <v>1064</v>
      </c>
      <c r="B328" s="91" t="s">
        <v>1003</v>
      </c>
      <c r="C328" s="91" t="s">
        <v>1241</v>
      </c>
      <c r="D328" s="151">
        <v>72154028</v>
      </c>
      <c r="E328" s="91" t="s">
        <v>1113</v>
      </c>
      <c r="F328" s="91" t="s">
        <v>1244</v>
      </c>
      <c r="G328" s="83" t="s">
        <v>42</v>
      </c>
      <c r="H328" s="83" t="s">
        <v>43</v>
      </c>
      <c r="I328" s="100">
        <v>12</v>
      </c>
      <c r="J328" s="100" t="s">
        <v>1068</v>
      </c>
      <c r="K328" s="128">
        <v>1155000</v>
      </c>
      <c r="L328" s="129">
        <v>0.19</v>
      </c>
      <c r="M328" s="128">
        <f t="shared" si="38"/>
        <v>219450</v>
      </c>
      <c r="N328" s="128">
        <f t="shared" si="39"/>
        <v>1374450</v>
      </c>
      <c r="O328" s="91" t="s">
        <v>343</v>
      </c>
      <c r="P328" s="91" t="s">
        <v>344</v>
      </c>
      <c r="Q328" s="128">
        <f t="shared" si="35"/>
        <v>1374450</v>
      </c>
      <c r="R328" s="128"/>
      <c r="S328" s="128"/>
      <c r="T328" s="128"/>
      <c r="U328" s="91" t="s">
        <v>1243</v>
      </c>
      <c r="V328" s="91"/>
      <c r="W328" s="138">
        <f>+K328</f>
        <v>1155000</v>
      </c>
      <c r="X328" s="91" t="s">
        <v>882</v>
      </c>
      <c r="Y328" s="91" t="s">
        <v>883</v>
      </c>
      <c r="Z328" s="91" t="s">
        <v>1155</v>
      </c>
    </row>
    <row r="329" spans="1:26" ht="43" customHeight="1" x14ac:dyDescent="0.35">
      <c r="A329" s="150" t="s">
        <v>1064</v>
      </c>
      <c r="B329" s="91" t="s">
        <v>1003</v>
      </c>
      <c r="C329" s="91" t="s">
        <v>1241</v>
      </c>
      <c r="D329" s="151">
        <v>72154028</v>
      </c>
      <c r="E329" s="91" t="s">
        <v>1113</v>
      </c>
      <c r="F329" s="91" t="s">
        <v>1245</v>
      </c>
      <c r="G329" s="83" t="s">
        <v>43</v>
      </c>
      <c r="H329" s="83" t="s">
        <v>44</v>
      </c>
      <c r="I329" s="100">
        <v>1</v>
      </c>
      <c r="J329" s="100" t="s">
        <v>1068</v>
      </c>
      <c r="K329" s="128">
        <v>1040000</v>
      </c>
      <c r="L329" s="129">
        <v>0.19</v>
      </c>
      <c r="M329" s="128">
        <f t="shared" si="38"/>
        <v>197600</v>
      </c>
      <c r="N329" s="128">
        <f t="shared" si="39"/>
        <v>1237600</v>
      </c>
      <c r="O329" s="91" t="s">
        <v>343</v>
      </c>
      <c r="P329" s="91" t="s">
        <v>344</v>
      </c>
      <c r="Q329" s="128">
        <f t="shared" si="35"/>
        <v>1237600</v>
      </c>
      <c r="R329" s="128"/>
      <c r="S329" s="128"/>
      <c r="T329" s="128"/>
      <c r="U329" s="91" t="s">
        <v>1243</v>
      </c>
      <c r="V329" s="91"/>
      <c r="W329" s="138">
        <f>+K329</f>
        <v>1040000</v>
      </c>
      <c r="X329" s="91" t="s">
        <v>861</v>
      </c>
      <c r="Y329" s="91" t="s">
        <v>861</v>
      </c>
      <c r="Z329" s="91" t="s">
        <v>861</v>
      </c>
    </row>
    <row r="330" spans="1:26" ht="43" customHeight="1" x14ac:dyDescent="0.35">
      <c r="A330" s="150" t="s">
        <v>1064</v>
      </c>
      <c r="B330" s="91" t="s">
        <v>1003</v>
      </c>
      <c r="C330" s="91" t="s">
        <v>1241</v>
      </c>
      <c r="D330" s="151">
        <v>72101511</v>
      </c>
      <c r="E330" s="91" t="s">
        <v>886</v>
      </c>
      <c r="F330" s="91" t="s">
        <v>1246</v>
      </c>
      <c r="G330" s="83" t="s">
        <v>42</v>
      </c>
      <c r="H330" s="83" t="s">
        <v>43</v>
      </c>
      <c r="I330" s="100">
        <v>12</v>
      </c>
      <c r="J330" s="100" t="s">
        <v>1068</v>
      </c>
      <c r="K330" s="128">
        <v>1350000</v>
      </c>
      <c r="L330" s="129">
        <v>0.19</v>
      </c>
      <c r="M330" s="128">
        <f t="shared" si="38"/>
        <v>256500</v>
      </c>
      <c r="N330" s="128">
        <f t="shared" si="39"/>
        <v>1606500</v>
      </c>
      <c r="O330" s="91" t="s">
        <v>343</v>
      </c>
      <c r="P330" s="91" t="s">
        <v>344</v>
      </c>
      <c r="Q330" s="128">
        <f t="shared" si="35"/>
        <v>1606500</v>
      </c>
      <c r="R330" s="128"/>
      <c r="S330" s="128"/>
      <c r="T330" s="128"/>
      <c r="U330" s="91" t="s">
        <v>1243</v>
      </c>
      <c r="V330" s="91"/>
      <c r="W330" s="138">
        <f>+Q330/1.19</f>
        <v>1350000</v>
      </c>
      <c r="X330" s="91" t="s">
        <v>882</v>
      </c>
      <c r="Y330" s="91" t="s">
        <v>883</v>
      </c>
      <c r="Z330" s="91" t="s">
        <v>889</v>
      </c>
    </row>
    <row r="331" spans="1:26" ht="43" customHeight="1" x14ac:dyDescent="0.35">
      <c r="A331" s="150" t="s">
        <v>1064</v>
      </c>
      <c r="B331" s="91" t="s">
        <v>1003</v>
      </c>
      <c r="C331" s="91" t="s">
        <v>1241</v>
      </c>
      <c r="D331" s="151">
        <v>90101600</v>
      </c>
      <c r="E331" s="91" t="s">
        <v>1082</v>
      </c>
      <c r="F331" s="91" t="s">
        <v>1083</v>
      </c>
      <c r="G331" s="83" t="s">
        <v>45</v>
      </c>
      <c r="H331" s="83" t="s">
        <v>45</v>
      </c>
      <c r="I331" s="100">
        <v>1</v>
      </c>
      <c r="J331" s="100" t="s">
        <v>350</v>
      </c>
      <c r="K331" s="128">
        <v>2076320</v>
      </c>
      <c r="L331" s="154">
        <v>0.19</v>
      </c>
      <c r="M331" s="128">
        <f>K331*L331</f>
        <v>394500.8</v>
      </c>
      <c r="N331" s="128">
        <f>M331+K331</f>
        <v>2470820.7999999998</v>
      </c>
      <c r="O331" s="91" t="s">
        <v>343</v>
      </c>
      <c r="P331" s="91" t="s">
        <v>344</v>
      </c>
      <c r="Q331" s="128">
        <f t="shared" si="35"/>
        <v>2470820.7999999998</v>
      </c>
      <c r="R331" s="128"/>
      <c r="S331" s="128"/>
      <c r="T331" s="128"/>
      <c r="U331" s="91" t="s">
        <v>1243</v>
      </c>
      <c r="V331" s="91"/>
      <c r="W331" s="98">
        <f>K331</f>
        <v>2076320</v>
      </c>
      <c r="X331" s="91" t="s">
        <v>657</v>
      </c>
      <c r="Y331" s="91" t="s">
        <v>658</v>
      </c>
      <c r="Z331" s="91" t="s">
        <v>659</v>
      </c>
    </row>
    <row r="332" spans="1:26" ht="43" customHeight="1" x14ac:dyDescent="0.35">
      <c r="A332" s="150" t="s">
        <v>1064</v>
      </c>
      <c r="B332" s="91" t="s">
        <v>1003</v>
      </c>
      <c r="C332" s="91" t="s">
        <v>1241</v>
      </c>
      <c r="D332" s="151">
        <v>80141902</v>
      </c>
      <c r="E332" s="91" t="s">
        <v>1066</v>
      </c>
      <c r="F332" s="91" t="s">
        <v>1084</v>
      </c>
      <c r="G332" s="100" t="s">
        <v>53</v>
      </c>
      <c r="H332" s="83" t="s">
        <v>53</v>
      </c>
      <c r="I332" s="100">
        <v>1</v>
      </c>
      <c r="J332" s="100" t="s">
        <v>350</v>
      </c>
      <c r="K332" s="128">
        <v>2076320</v>
      </c>
      <c r="L332" s="154">
        <v>0.19</v>
      </c>
      <c r="M332" s="128">
        <f>K332*L332</f>
        <v>394500.8</v>
      </c>
      <c r="N332" s="128">
        <f>M332+K332</f>
        <v>2470820.7999999998</v>
      </c>
      <c r="O332" s="91" t="s">
        <v>343</v>
      </c>
      <c r="P332" s="91" t="s">
        <v>344</v>
      </c>
      <c r="Q332" s="128">
        <f t="shared" si="35"/>
        <v>2470820.7999999998</v>
      </c>
      <c r="R332" s="128"/>
      <c r="S332" s="128"/>
      <c r="T332" s="128"/>
      <c r="U332" s="91" t="s">
        <v>1243</v>
      </c>
      <c r="V332" s="91"/>
      <c r="W332" s="98">
        <f>K332</f>
        <v>2076320</v>
      </c>
      <c r="X332" s="91" t="s">
        <v>657</v>
      </c>
      <c r="Y332" s="91" t="s">
        <v>658</v>
      </c>
      <c r="Z332" s="91" t="s">
        <v>659</v>
      </c>
    </row>
    <row r="333" spans="1:26" ht="43" customHeight="1" x14ac:dyDescent="0.35">
      <c r="A333" s="150" t="s">
        <v>1064</v>
      </c>
      <c r="B333" s="91" t="s">
        <v>1003</v>
      </c>
      <c r="C333" s="91" t="s">
        <v>1247</v>
      </c>
      <c r="D333" s="151">
        <v>90101600</v>
      </c>
      <c r="E333" s="91" t="s">
        <v>1082</v>
      </c>
      <c r="F333" s="91" t="s">
        <v>1083</v>
      </c>
      <c r="G333" s="83" t="s">
        <v>45</v>
      </c>
      <c r="H333" s="83" t="s">
        <v>45</v>
      </c>
      <c r="I333" s="100">
        <v>1</v>
      </c>
      <c r="J333" s="100" t="s">
        <v>350</v>
      </c>
      <c r="K333" s="128">
        <v>4500000</v>
      </c>
      <c r="L333" s="154">
        <v>0.19</v>
      </c>
      <c r="M333" s="128">
        <f>K333*L333</f>
        <v>855000</v>
      </c>
      <c r="N333" s="128">
        <f>M333+K333</f>
        <v>5355000</v>
      </c>
      <c r="O333" s="91" t="s">
        <v>343</v>
      </c>
      <c r="P333" s="91" t="s">
        <v>344</v>
      </c>
      <c r="Q333" s="128">
        <f t="shared" si="35"/>
        <v>5355000</v>
      </c>
      <c r="R333" s="128"/>
      <c r="S333" s="128"/>
      <c r="T333" s="128"/>
      <c r="U333" s="91" t="s">
        <v>1248</v>
      </c>
      <c r="V333" s="91"/>
      <c r="W333" s="98">
        <f>K333</f>
        <v>4500000</v>
      </c>
      <c r="X333" s="91" t="s">
        <v>657</v>
      </c>
      <c r="Y333" s="91" t="s">
        <v>658</v>
      </c>
      <c r="Z333" s="91" t="s">
        <v>659</v>
      </c>
    </row>
    <row r="334" spans="1:26" ht="43" customHeight="1" x14ac:dyDescent="0.35">
      <c r="A334" s="150" t="s">
        <v>1064</v>
      </c>
      <c r="B334" s="91" t="s">
        <v>1003</v>
      </c>
      <c r="C334" s="91" t="s">
        <v>1247</v>
      </c>
      <c r="D334" s="151">
        <v>80141902</v>
      </c>
      <c r="E334" s="91" t="s">
        <v>1066</v>
      </c>
      <c r="F334" s="91" t="s">
        <v>1084</v>
      </c>
      <c r="G334" s="100" t="s">
        <v>53</v>
      </c>
      <c r="H334" s="83" t="s">
        <v>53</v>
      </c>
      <c r="I334" s="100">
        <v>1</v>
      </c>
      <c r="J334" s="100" t="s">
        <v>350</v>
      </c>
      <c r="K334" s="128">
        <v>4500000</v>
      </c>
      <c r="L334" s="154">
        <v>0.19</v>
      </c>
      <c r="M334" s="128">
        <f>K334*L334</f>
        <v>855000</v>
      </c>
      <c r="N334" s="128">
        <f>M334+K334</f>
        <v>5355000</v>
      </c>
      <c r="O334" s="91" t="s">
        <v>343</v>
      </c>
      <c r="P334" s="91" t="s">
        <v>344</v>
      </c>
      <c r="Q334" s="128">
        <f t="shared" si="35"/>
        <v>5355000</v>
      </c>
      <c r="R334" s="128"/>
      <c r="S334" s="128"/>
      <c r="T334" s="128"/>
      <c r="U334" s="91" t="s">
        <v>1248</v>
      </c>
      <c r="V334" s="91"/>
      <c r="W334" s="98">
        <f>K334</f>
        <v>4500000</v>
      </c>
      <c r="X334" s="91" t="s">
        <v>657</v>
      </c>
      <c r="Y334" s="91" t="s">
        <v>658</v>
      </c>
      <c r="Z334" s="91" t="s">
        <v>659</v>
      </c>
    </row>
    <row r="335" spans="1:26" ht="43" customHeight="1" x14ac:dyDescent="0.35">
      <c r="A335" s="150" t="s">
        <v>1064</v>
      </c>
      <c r="B335" s="91" t="s">
        <v>1003</v>
      </c>
      <c r="C335" s="91" t="s">
        <v>1247</v>
      </c>
      <c r="D335" s="155">
        <v>78181703</v>
      </c>
      <c r="E335" s="91" t="s">
        <v>1090</v>
      </c>
      <c r="F335" s="91" t="s">
        <v>1249</v>
      </c>
      <c r="G335" s="83" t="s">
        <v>42</v>
      </c>
      <c r="H335" s="83" t="s">
        <v>43</v>
      </c>
      <c r="I335" s="100">
        <v>12</v>
      </c>
      <c r="J335" s="100" t="s">
        <v>350</v>
      </c>
      <c r="K335" s="128">
        <v>3280899</v>
      </c>
      <c r="L335" s="129">
        <v>0.19</v>
      </c>
      <c r="M335" s="128">
        <f t="shared" ref="M335:M343" si="41">+K335*L335</f>
        <v>623370.81000000006</v>
      </c>
      <c r="N335" s="128">
        <f t="shared" ref="N335:N343" si="42">+K335+M335</f>
        <v>3904269.81</v>
      </c>
      <c r="O335" s="91" t="s">
        <v>343</v>
      </c>
      <c r="P335" s="91" t="s">
        <v>344</v>
      </c>
      <c r="Q335" s="128">
        <f t="shared" si="35"/>
        <v>3904269.81</v>
      </c>
      <c r="R335" s="128"/>
      <c r="S335" s="128"/>
      <c r="T335" s="128"/>
      <c r="U335" s="91" t="s">
        <v>1250</v>
      </c>
      <c r="V335" s="91" t="s">
        <v>1092</v>
      </c>
      <c r="W335" s="138">
        <f>+Q335/1.19</f>
        <v>3280899</v>
      </c>
      <c r="X335" s="91" t="s">
        <v>1093</v>
      </c>
      <c r="Y335" s="91" t="s">
        <v>1094</v>
      </c>
      <c r="Z335" s="91" t="s">
        <v>1094</v>
      </c>
    </row>
    <row r="336" spans="1:26" ht="43" customHeight="1" x14ac:dyDescent="0.35">
      <c r="A336" s="150" t="s">
        <v>1064</v>
      </c>
      <c r="B336" s="91" t="s">
        <v>1003</v>
      </c>
      <c r="C336" s="91" t="s">
        <v>1247</v>
      </c>
      <c r="D336" s="151">
        <v>80141902</v>
      </c>
      <c r="E336" s="91" t="s">
        <v>1066</v>
      </c>
      <c r="F336" s="91" t="s">
        <v>1251</v>
      </c>
      <c r="G336" s="83" t="s">
        <v>48</v>
      </c>
      <c r="H336" s="83" t="s">
        <v>48</v>
      </c>
      <c r="I336" s="100">
        <v>1</v>
      </c>
      <c r="J336" s="100" t="s">
        <v>1068</v>
      </c>
      <c r="K336" s="138">
        <v>1500000</v>
      </c>
      <c r="L336" s="129">
        <v>0.19</v>
      </c>
      <c r="M336" s="128">
        <f t="shared" si="41"/>
        <v>285000</v>
      </c>
      <c r="N336" s="128">
        <f t="shared" si="42"/>
        <v>1785000</v>
      </c>
      <c r="O336" s="91" t="s">
        <v>343</v>
      </c>
      <c r="P336" s="91" t="s">
        <v>344</v>
      </c>
      <c r="Q336" s="128">
        <f t="shared" si="35"/>
        <v>1785000</v>
      </c>
      <c r="R336" s="128"/>
      <c r="S336" s="128"/>
      <c r="T336" s="128"/>
      <c r="U336" s="91" t="s">
        <v>1250</v>
      </c>
      <c r="V336" s="91"/>
      <c r="W336" s="138">
        <f>+Q336/1.19</f>
        <v>1500000</v>
      </c>
      <c r="X336" s="104" t="s">
        <v>811</v>
      </c>
      <c r="Y336" s="104" t="s">
        <v>811</v>
      </c>
      <c r="Z336" s="104" t="s">
        <v>825</v>
      </c>
    </row>
    <row r="337" spans="1:26" ht="43" customHeight="1" x14ac:dyDescent="0.35">
      <c r="A337" s="150" t="s">
        <v>1064</v>
      </c>
      <c r="B337" s="91" t="s">
        <v>1003</v>
      </c>
      <c r="C337" s="91" t="s">
        <v>1247</v>
      </c>
      <c r="D337" s="151">
        <v>80141902</v>
      </c>
      <c r="E337" s="91" t="s">
        <v>1066</v>
      </c>
      <c r="F337" s="91" t="s">
        <v>1252</v>
      </c>
      <c r="G337" s="100" t="s">
        <v>53</v>
      </c>
      <c r="H337" s="83" t="s">
        <v>53</v>
      </c>
      <c r="I337" s="100">
        <v>1</v>
      </c>
      <c r="J337" s="100" t="s">
        <v>1068</v>
      </c>
      <c r="K337" s="128">
        <v>1500000</v>
      </c>
      <c r="L337" s="129">
        <v>0.19</v>
      </c>
      <c r="M337" s="128">
        <f t="shared" si="41"/>
        <v>285000</v>
      </c>
      <c r="N337" s="128">
        <f t="shared" si="42"/>
        <v>1785000</v>
      </c>
      <c r="O337" s="91" t="s">
        <v>343</v>
      </c>
      <c r="P337" s="91" t="s">
        <v>344</v>
      </c>
      <c r="Q337" s="128">
        <f t="shared" si="35"/>
        <v>1785000</v>
      </c>
      <c r="R337" s="128"/>
      <c r="S337" s="128"/>
      <c r="T337" s="128"/>
      <c r="U337" s="91" t="s">
        <v>1250</v>
      </c>
      <c r="V337" s="91"/>
      <c r="W337" s="138">
        <f>+Q337/1.19</f>
        <v>1500000</v>
      </c>
      <c r="X337" s="104" t="s">
        <v>811</v>
      </c>
      <c r="Y337" s="104" t="s">
        <v>811</v>
      </c>
      <c r="Z337" s="104" t="s">
        <v>825</v>
      </c>
    </row>
    <row r="338" spans="1:26" ht="43" customHeight="1" x14ac:dyDescent="0.35">
      <c r="A338" s="150" t="s">
        <v>1064</v>
      </c>
      <c r="B338" s="91" t="s">
        <v>1003</v>
      </c>
      <c r="C338" s="91" t="s">
        <v>1247</v>
      </c>
      <c r="D338" s="151">
        <v>72101511</v>
      </c>
      <c r="E338" s="91" t="s">
        <v>886</v>
      </c>
      <c r="F338" s="91" t="s">
        <v>1253</v>
      </c>
      <c r="G338" s="83" t="s">
        <v>42</v>
      </c>
      <c r="H338" s="83" t="s">
        <v>43</v>
      </c>
      <c r="I338" s="100">
        <v>12</v>
      </c>
      <c r="J338" s="100" t="s">
        <v>350</v>
      </c>
      <c r="K338" s="128">
        <v>3637608</v>
      </c>
      <c r="L338" s="129">
        <v>0.19</v>
      </c>
      <c r="M338" s="128">
        <f t="shared" si="41"/>
        <v>691145.52</v>
      </c>
      <c r="N338" s="128">
        <f t="shared" si="42"/>
        <v>4328753.5199999996</v>
      </c>
      <c r="O338" s="91" t="s">
        <v>343</v>
      </c>
      <c r="P338" s="91" t="s">
        <v>344</v>
      </c>
      <c r="Q338" s="128">
        <f t="shared" si="35"/>
        <v>4328753.5199999996</v>
      </c>
      <c r="R338" s="128"/>
      <c r="S338" s="128"/>
      <c r="T338" s="128"/>
      <c r="U338" s="91" t="s">
        <v>1250</v>
      </c>
      <c r="V338" s="91"/>
      <c r="W338" s="138">
        <f>+Q338/1.19</f>
        <v>3637608</v>
      </c>
      <c r="X338" s="91" t="s">
        <v>882</v>
      </c>
      <c r="Y338" s="91" t="s">
        <v>883</v>
      </c>
      <c r="Z338" s="91" t="s">
        <v>889</v>
      </c>
    </row>
    <row r="339" spans="1:26" ht="43" customHeight="1" x14ac:dyDescent="0.35">
      <c r="A339" s="150" t="s">
        <v>1064</v>
      </c>
      <c r="B339" s="91" t="s">
        <v>1003</v>
      </c>
      <c r="C339" s="91" t="s">
        <v>1247</v>
      </c>
      <c r="D339" s="151">
        <v>82121507</v>
      </c>
      <c r="E339" s="91" t="s">
        <v>1128</v>
      </c>
      <c r="F339" s="91" t="s">
        <v>1254</v>
      </c>
      <c r="G339" s="83" t="s">
        <v>43</v>
      </c>
      <c r="H339" s="83" t="s">
        <v>44</v>
      </c>
      <c r="I339" s="100">
        <v>10</v>
      </c>
      <c r="J339" s="100" t="s">
        <v>350</v>
      </c>
      <c r="K339" s="128">
        <v>5000000</v>
      </c>
      <c r="L339" s="129">
        <v>0</v>
      </c>
      <c r="M339" s="128">
        <f t="shared" si="41"/>
        <v>0</v>
      </c>
      <c r="N339" s="128">
        <f t="shared" si="42"/>
        <v>5000000</v>
      </c>
      <c r="O339" s="91" t="s">
        <v>343</v>
      </c>
      <c r="P339" s="91" t="s">
        <v>344</v>
      </c>
      <c r="Q339" s="128">
        <f t="shared" si="35"/>
        <v>5000000</v>
      </c>
      <c r="R339" s="128"/>
      <c r="S339" s="128"/>
      <c r="T339" s="128"/>
      <c r="U339" s="91" t="s">
        <v>1250</v>
      </c>
      <c r="V339" s="91"/>
      <c r="W339" s="138">
        <f>+Q339</f>
        <v>5000000</v>
      </c>
      <c r="X339" s="91" t="s">
        <v>707</v>
      </c>
      <c r="Y339" s="91" t="s">
        <v>707</v>
      </c>
      <c r="Z339" s="91" t="s">
        <v>1131</v>
      </c>
    </row>
    <row r="340" spans="1:26" ht="43" customHeight="1" x14ac:dyDescent="0.35">
      <c r="A340" s="150" t="s">
        <v>1064</v>
      </c>
      <c r="B340" s="91" t="s">
        <v>1003</v>
      </c>
      <c r="C340" s="91" t="s">
        <v>1255</v>
      </c>
      <c r="D340" s="151">
        <v>80141902</v>
      </c>
      <c r="E340" s="91" t="s">
        <v>1066</v>
      </c>
      <c r="F340" s="91" t="s">
        <v>1256</v>
      </c>
      <c r="G340" s="83" t="s">
        <v>52</v>
      </c>
      <c r="H340" s="83" t="s">
        <v>53</v>
      </c>
      <c r="I340" s="100">
        <v>1</v>
      </c>
      <c r="J340" s="100" t="s">
        <v>1068</v>
      </c>
      <c r="K340" s="128">
        <v>1657500</v>
      </c>
      <c r="L340" s="129">
        <v>0.08</v>
      </c>
      <c r="M340" s="128">
        <f t="shared" si="41"/>
        <v>132600</v>
      </c>
      <c r="N340" s="128">
        <f t="shared" si="42"/>
        <v>1790100</v>
      </c>
      <c r="O340" s="91" t="s">
        <v>343</v>
      </c>
      <c r="P340" s="91" t="s">
        <v>344</v>
      </c>
      <c r="Q340" s="128">
        <f t="shared" si="35"/>
        <v>1790100</v>
      </c>
      <c r="R340" s="128"/>
      <c r="S340" s="128"/>
      <c r="T340" s="128"/>
      <c r="U340" s="91" t="s">
        <v>1257</v>
      </c>
      <c r="V340" s="91"/>
      <c r="W340" s="138">
        <f>+Q340/1.08</f>
        <v>1657500</v>
      </c>
      <c r="X340" s="104" t="s">
        <v>811</v>
      </c>
      <c r="Y340" s="104" t="s">
        <v>811</v>
      </c>
      <c r="Z340" s="104" t="s">
        <v>825</v>
      </c>
    </row>
    <row r="341" spans="1:26" ht="43" customHeight="1" x14ac:dyDescent="0.35">
      <c r="A341" s="150" t="s">
        <v>1064</v>
      </c>
      <c r="B341" s="91" t="s">
        <v>1003</v>
      </c>
      <c r="C341" s="91" t="s">
        <v>1255</v>
      </c>
      <c r="D341" s="151">
        <v>72101511</v>
      </c>
      <c r="E341" s="91" t="s">
        <v>886</v>
      </c>
      <c r="F341" s="91" t="s">
        <v>1258</v>
      </c>
      <c r="G341" s="83" t="s">
        <v>44</v>
      </c>
      <c r="H341" s="83" t="s">
        <v>45</v>
      </c>
      <c r="I341" s="100">
        <v>9</v>
      </c>
      <c r="J341" s="100" t="s">
        <v>350</v>
      </c>
      <c r="K341" s="128">
        <v>2517740</v>
      </c>
      <c r="L341" s="129">
        <v>0.19</v>
      </c>
      <c r="M341" s="128">
        <f t="shared" si="41"/>
        <v>478370.6</v>
      </c>
      <c r="N341" s="128">
        <f t="shared" si="42"/>
        <v>2996110.6</v>
      </c>
      <c r="O341" s="91" t="s">
        <v>343</v>
      </c>
      <c r="P341" s="91" t="s">
        <v>344</v>
      </c>
      <c r="Q341" s="128">
        <f t="shared" si="35"/>
        <v>2996110.6</v>
      </c>
      <c r="R341" s="128"/>
      <c r="S341" s="128"/>
      <c r="T341" s="128"/>
      <c r="U341" s="91" t="s">
        <v>1257</v>
      </c>
      <c r="V341" s="91"/>
      <c r="W341" s="138">
        <f>+Q341/1.19</f>
        <v>2517740</v>
      </c>
      <c r="X341" s="91" t="s">
        <v>882</v>
      </c>
      <c r="Y341" s="91" t="s">
        <v>883</v>
      </c>
      <c r="Z341" s="91" t="s">
        <v>889</v>
      </c>
    </row>
    <row r="342" spans="1:26" ht="43" customHeight="1" x14ac:dyDescent="0.35">
      <c r="A342" s="150" t="s">
        <v>1064</v>
      </c>
      <c r="B342" s="91" t="s">
        <v>1003</v>
      </c>
      <c r="C342" s="91" t="s">
        <v>1255</v>
      </c>
      <c r="D342" s="151">
        <v>73152108</v>
      </c>
      <c r="E342" s="91" t="s">
        <v>1153</v>
      </c>
      <c r="F342" s="91" t="s">
        <v>1259</v>
      </c>
      <c r="G342" s="83" t="s">
        <v>50</v>
      </c>
      <c r="H342" s="83" t="s">
        <v>51</v>
      </c>
      <c r="I342" s="100">
        <v>1</v>
      </c>
      <c r="J342" s="100" t="s">
        <v>350</v>
      </c>
      <c r="K342" s="128">
        <v>2155081</v>
      </c>
      <c r="L342" s="129">
        <v>0.19</v>
      </c>
      <c r="M342" s="128">
        <f t="shared" si="41"/>
        <v>409465.39</v>
      </c>
      <c r="N342" s="128">
        <f t="shared" si="42"/>
        <v>2564546.39</v>
      </c>
      <c r="O342" s="91" t="s">
        <v>343</v>
      </c>
      <c r="P342" s="91" t="s">
        <v>344</v>
      </c>
      <c r="Q342" s="128">
        <f t="shared" si="35"/>
        <v>2564546.39</v>
      </c>
      <c r="R342" s="128"/>
      <c r="S342" s="128"/>
      <c r="T342" s="128"/>
      <c r="U342" s="91" t="s">
        <v>1257</v>
      </c>
      <c r="V342" s="91"/>
      <c r="W342" s="138">
        <f>+Q342/1.19</f>
        <v>2155081</v>
      </c>
      <c r="X342" s="91" t="s">
        <v>882</v>
      </c>
      <c r="Y342" s="91" t="s">
        <v>883</v>
      </c>
      <c r="Z342" s="91" t="s">
        <v>1155</v>
      </c>
    </row>
    <row r="343" spans="1:26" ht="43" customHeight="1" x14ac:dyDescent="0.35">
      <c r="A343" s="150" t="s">
        <v>1064</v>
      </c>
      <c r="B343" s="91" t="s">
        <v>1003</v>
      </c>
      <c r="C343" s="91" t="s">
        <v>1255</v>
      </c>
      <c r="D343" s="151">
        <v>72153613</v>
      </c>
      <c r="E343" s="91" t="s">
        <v>1121</v>
      </c>
      <c r="F343" s="91" t="s">
        <v>1260</v>
      </c>
      <c r="G343" s="83" t="s">
        <v>51</v>
      </c>
      <c r="H343" s="83" t="s">
        <v>52</v>
      </c>
      <c r="I343" s="100">
        <v>1</v>
      </c>
      <c r="J343" s="100" t="s">
        <v>1068</v>
      </c>
      <c r="K343" s="128">
        <v>1591081</v>
      </c>
      <c r="L343" s="129">
        <v>0.19</v>
      </c>
      <c r="M343" s="128">
        <f t="shared" si="41"/>
        <v>302305.39</v>
      </c>
      <c r="N343" s="128">
        <f t="shared" si="42"/>
        <v>1893386.3900000001</v>
      </c>
      <c r="O343" s="91" t="s">
        <v>343</v>
      </c>
      <c r="P343" s="91" t="s">
        <v>344</v>
      </c>
      <c r="Q343" s="128">
        <f t="shared" si="35"/>
        <v>1893386.3900000001</v>
      </c>
      <c r="R343" s="128"/>
      <c r="S343" s="128"/>
      <c r="T343" s="128"/>
      <c r="U343" s="91" t="s">
        <v>1257</v>
      </c>
      <c r="V343" s="91"/>
      <c r="W343" s="138">
        <f>+Q343/1.19</f>
        <v>1591081.0000000002</v>
      </c>
      <c r="X343" s="91" t="s">
        <v>882</v>
      </c>
      <c r="Y343" s="91" t="s">
        <v>883</v>
      </c>
      <c r="Z343" s="91" t="s">
        <v>883</v>
      </c>
    </row>
    <row r="344" spans="1:26" ht="43" customHeight="1" x14ac:dyDescent="0.35">
      <c r="A344" s="150" t="s">
        <v>1064</v>
      </c>
      <c r="B344" s="91" t="s">
        <v>1003</v>
      </c>
      <c r="C344" s="91" t="s">
        <v>1255</v>
      </c>
      <c r="D344" s="151">
        <v>90101600</v>
      </c>
      <c r="E344" s="91" t="s">
        <v>1082</v>
      </c>
      <c r="F344" s="91" t="s">
        <v>1083</v>
      </c>
      <c r="G344" s="83" t="s">
        <v>45</v>
      </c>
      <c r="H344" s="83" t="s">
        <v>45</v>
      </c>
      <c r="I344" s="100">
        <v>1</v>
      </c>
      <c r="J344" s="100" t="s">
        <v>350</v>
      </c>
      <c r="K344" s="128">
        <v>4500000</v>
      </c>
      <c r="L344" s="154">
        <v>0.19</v>
      </c>
      <c r="M344" s="128">
        <f>K344*L344</f>
        <v>855000</v>
      </c>
      <c r="N344" s="128">
        <f>M344+K344</f>
        <v>5355000</v>
      </c>
      <c r="O344" s="91" t="s">
        <v>343</v>
      </c>
      <c r="P344" s="91" t="s">
        <v>344</v>
      </c>
      <c r="Q344" s="128">
        <f t="shared" si="35"/>
        <v>5355000</v>
      </c>
      <c r="R344" s="128"/>
      <c r="S344" s="128"/>
      <c r="T344" s="128"/>
      <c r="U344" s="91" t="s">
        <v>1261</v>
      </c>
      <c r="V344" s="91"/>
      <c r="W344" s="98">
        <f>K344</f>
        <v>4500000</v>
      </c>
      <c r="X344" s="91" t="s">
        <v>657</v>
      </c>
      <c r="Y344" s="91" t="s">
        <v>658</v>
      </c>
      <c r="Z344" s="91" t="s">
        <v>659</v>
      </c>
    </row>
    <row r="345" spans="1:26" ht="43" customHeight="1" x14ac:dyDescent="0.35">
      <c r="A345" s="150" t="s">
        <v>1064</v>
      </c>
      <c r="B345" s="91" t="s">
        <v>1003</v>
      </c>
      <c r="C345" s="91" t="s">
        <v>1255</v>
      </c>
      <c r="D345" s="151">
        <v>80141902</v>
      </c>
      <c r="E345" s="91" t="s">
        <v>1066</v>
      </c>
      <c r="F345" s="91" t="s">
        <v>1084</v>
      </c>
      <c r="G345" s="100" t="s">
        <v>53</v>
      </c>
      <c r="H345" s="83" t="s">
        <v>53</v>
      </c>
      <c r="I345" s="100">
        <v>1</v>
      </c>
      <c r="J345" s="100" t="s">
        <v>350</v>
      </c>
      <c r="K345" s="128">
        <v>4500000</v>
      </c>
      <c r="L345" s="154">
        <v>0.19</v>
      </c>
      <c r="M345" s="128">
        <f>K345*L345</f>
        <v>855000</v>
      </c>
      <c r="N345" s="128">
        <f>M345+K345</f>
        <v>5355000</v>
      </c>
      <c r="O345" s="91" t="s">
        <v>343</v>
      </c>
      <c r="P345" s="91" t="s">
        <v>344</v>
      </c>
      <c r="Q345" s="128">
        <f t="shared" si="35"/>
        <v>5355000</v>
      </c>
      <c r="R345" s="128"/>
      <c r="S345" s="128"/>
      <c r="T345" s="128"/>
      <c r="U345" s="91" t="s">
        <v>1261</v>
      </c>
      <c r="V345" s="91"/>
      <c r="W345" s="98">
        <f>K345</f>
        <v>4500000</v>
      </c>
      <c r="X345" s="91" t="s">
        <v>657</v>
      </c>
      <c r="Y345" s="91" t="s">
        <v>658</v>
      </c>
      <c r="Z345" s="91" t="s">
        <v>659</v>
      </c>
    </row>
    <row r="346" spans="1:26" ht="43" customHeight="1" x14ac:dyDescent="0.35">
      <c r="A346" s="150" t="s">
        <v>1064</v>
      </c>
      <c r="B346" s="91" t="s">
        <v>1003</v>
      </c>
      <c r="C346" s="91" t="s">
        <v>1262</v>
      </c>
      <c r="D346" s="151">
        <v>22101708</v>
      </c>
      <c r="E346" s="91" t="s">
        <v>1263</v>
      </c>
      <c r="F346" s="91" t="s">
        <v>1264</v>
      </c>
      <c r="G346" s="83" t="s">
        <v>44</v>
      </c>
      <c r="H346" s="83" t="s">
        <v>44</v>
      </c>
      <c r="I346" s="100">
        <v>1</v>
      </c>
      <c r="J346" s="100" t="s">
        <v>350</v>
      </c>
      <c r="K346" s="128">
        <v>3000000</v>
      </c>
      <c r="L346" s="129">
        <v>0.19</v>
      </c>
      <c r="M346" s="128">
        <f t="shared" ref="M346:M351" si="43">+K346*L346</f>
        <v>570000</v>
      </c>
      <c r="N346" s="128">
        <f t="shared" ref="N346:N351" si="44">+K346+M346</f>
        <v>3570000</v>
      </c>
      <c r="O346" s="91" t="s">
        <v>343</v>
      </c>
      <c r="P346" s="91" t="s">
        <v>344</v>
      </c>
      <c r="Q346" s="128">
        <f t="shared" si="35"/>
        <v>3570000</v>
      </c>
      <c r="R346" s="128"/>
      <c r="S346" s="128"/>
      <c r="T346" s="128"/>
      <c r="U346" s="91" t="s">
        <v>1265</v>
      </c>
      <c r="V346" s="91" t="s">
        <v>1102</v>
      </c>
      <c r="W346" s="138">
        <f t="shared" ref="W346:W351" si="45">+Q346/1.19</f>
        <v>3000000</v>
      </c>
      <c r="X346" s="91" t="s">
        <v>983</v>
      </c>
      <c r="Y346" s="91" t="s">
        <v>983</v>
      </c>
      <c r="Z346" s="91" t="s">
        <v>1110</v>
      </c>
    </row>
    <row r="347" spans="1:26" ht="43" customHeight="1" x14ac:dyDescent="0.35">
      <c r="A347" s="150" t="s">
        <v>1064</v>
      </c>
      <c r="B347" s="91" t="s">
        <v>1003</v>
      </c>
      <c r="C347" s="91" t="s">
        <v>1262</v>
      </c>
      <c r="D347" s="151" t="s">
        <v>1266</v>
      </c>
      <c r="E347" s="91" t="s">
        <v>1267</v>
      </c>
      <c r="F347" s="91" t="s">
        <v>1268</v>
      </c>
      <c r="G347" s="83" t="s">
        <v>44</v>
      </c>
      <c r="H347" s="83" t="s">
        <v>44</v>
      </c>
      <c r="I347" s="100">
        <v>1</v>
      </c>
      <c r="J347" s="100" t="s">
        <v>1068</v>
      </c>
      <c r="K347" s="160">
        <v>600000</v>
      </c>
      <c r="L347" s="129">
        <v>0.19</v>
      </c>
      <c r="M347" s="128">
        <f t="shared" si="43"/>
        <v>114000</v>
      </c>
      <c r="N347" s="128">
        <f t="shared" si="44"/>
        <v>714000</v>
      </c>
      <c r="O347" s="91" t="s">
        <v>343</v>
      </c>
      <c r="P347" s="91" t="s">
        <v>344</v>
      </c>
      <c r="Q347" s="128">
        <f t="shared" si="35"/>
        <v>714000</v>
      </c>
      <c r="R347" s="128"/>
      <c r="S347" s="128"/>
      <c r="T347" s="128"/>
      <c r="U347" s="91" t="s">
        <v>1265</v>
      </c>
      <c r="V347" s="91" t="s">
        <v>1269</v>
      </c>
      <c r="W347" s="138">
        <f t="shared" si="45"/>
        <v>600000</v>
      </c>
      <c r="X347" s="91" t="s">
        <v>1103</v>
      </c>
      <c r="Y347" s="91" t="s">
        <v>963</v>
      </c>
      <c r="Z347" s="91" t="s">
        <v>1104</v>
      </c>
    </row>
    <row r="348" spans="1:26" ht="43" customHeight="1" x14ac:dyDescent="0.35">
      <c r="A348" s="150" t="s">
        <v>1064</v>
      </c>
      <c r="B348" s="91" t="s">
        <v>1003</v>
      </c>
      <c r="C348" s="91" t="s">
        <v>1262</v>
      </c>
      <c r="D348" s="151">
        <v>72154028</v>
      </c>
      <c r="E348" s="91" t="s">
        <v>1113</v>
      </c>
      <c r="F348" s="91" t="s">
        <v>1270</v>
      </c>
      <c r="G348" s="83" t="s">
        <v>44</v>
      </c>
      <c r="H348" s="83" t="s">
        <v>44</v>
      </c>
      <c r="I348" s="100">
        <v>1</v>
      </c>
      <c r="J348" s="100" t="s">
        <v>350</v>
      </c>
      <c r="K348" s="138">
        <v>4000000</v>
      </c>
      <c r="L348" s="129">
        <v>0.19</v>
      </c>
      <c r="M348" s="128">
        <f t="shared" si="43"/>
        <v>760000</v>
      </c>
      <c r="N348" s="128">
        <f t="shared" si="44"/>
        <v>4760000</v>
      </c>
      <c r="O348" s="91" t="s">
        <v>343</v>
      </c>
      <c r="P348" s="91" t="s">
        <v>344</v>
      </c>
      <c r="Q348" s="128">
        <f t="shared" si="35"/>
        <v>4760000</v>
      </c>
      <c r="R348" s="128"/>
      <c r="S348" s="128"/>
      <c r="T348" s="128"/>
      <c r="U348" s="91" t="s">
        <v>1265</v>
      </c>
      <c r="V348" s="91"/>
      <c r="W348" s="138">
        <f t="shared" si="45"/>
        <v>4000000</v>
      </c>
      <c r="X348" s="91" t="s">
        <v>861</v>
      </c>
      <c r="Y348" s="91" t="s">
        <v>861</v>
      </c>
      <c r="Z348" s="91" t="s">
        <v>861</v>
      </c>
    </row>
    <row r="349" spans="1:26" ht="43" customHeight="1" x14ac:dyDescent="0.35">
      <c r="A349" s="150" t="s">
        <v>1064</v>
      </c>
      <c r="B349" s="91" t="s">
        <v>1003</v>
      </c>
      <c r="C349" s="91" t="s">
        <v>1262</v>
      </c>
      <c r="D349" s="151">
        <v>80141902</v>
      </c>
      <c r="E349" s="91" t="e">
        <f>+VLOOKUP(D349,#REF!,2,FALSE)</f>
        <v>#REF!</v>
      </c>
      <c r="F349" s="91" t="s">
        <v>1271</v>
      </c>
      <c r="G349" s="83" t="s">
        <v>49</v>
      </c>
      <c r="H349" s="83" t="s">
        <v>49</v>
      </c>
      <c r="I349" s="100">
        <v>1</v>
      </c>
      <c r="J349" s="100" t="s">
        <v>350</v>
      </c>
      <c r="K349" s="138">
        <v>18700000</v>
      </c>
      <c r="L349" s="129">
        <v>0.19</v>
      </c>
      <c r="M349" s="128">
        <f t="shared" si="43"/>
        <v>3553000</v>
      </c>
      <c r="N349" s="128">
        <f t="shared" si="44"/>
        <v>22253000</v>
      </c>
      <c r="O349" s="91" t="s">
        <v>343</v>
      </c>
      <c r="P349" s="91" t="s">
        <v>344</v>
      </c>
      <c r="Q349" s="128">
        <f t="shared" si="35"/>
        <v>22253000</v>
      </c>
      <c r="R349" s="128"/>
      <c r="S349" s="128"/>
      <c r="T349" s="128"/>
      <c r="U349" s="91" t="s">
        <v>1265</v>
      </c>
      <c r="V349" s="91"/>
      <c r="W349" s="138">
        <f t="shared" si="45"/>
        <v>18700000</v>
      </c>
      <c r="X349" s="104" t="s">
        <v>811</v>
      </c>
      <c r="Y349" s="104" t="s">
        <v>811</v>
      </c>
      <c r="Z349" s="104" t="s">
        <v>825</v>
      </c>
    </row>
    <row r="350" spans="1:26" ht="43" customHeight="1" x14ac:dyDescent="0.35">
      <c r="A350" s="150" t="s">
        <v>1064</v>
      </c>
      <c r="B350" s="91" t="s">
        <v>1003</v>
      </c>
      <c r="C350" s="91" t="s">
        <v>1262</v>
      </c>
      <c r="D350" s="151">
        <v>73152108</v>
      </c>
      <c r="E350" s="91" t="s">
        <v>1153</v>
      </c>
      <c r="F350" s="91" t="s">
        <v>1272</v>
      </c>
      <c r="G350" s="83" t="s">
        <v>47</v>
      </c>
      <c r="H350" s="83" t="s">
        <v>47</v>
      </c>
      <c r="I350" s="100">
        <v>1</v>
      </c>
      <c r="J350" s="100" t="s">
        <v>1068</v>
      </c>
      <c r="K350" s="138">
        <v>1500000</v>
      </c>
      <c r="L350" s="129">
        <v>0.19</v>
      </c>
      <c r="M350" s="128">
        <f t="shared" si="43"/>
        <v>285000</v>
      </c>
      <c r="N350" s="128">
        <f t="shared" si="44"/>
        <v>1785000</v>
      </c>
      <c r="O350" s="91" t="s">
        <v>343</v>
      </c>
      <c r="P350" s="91" t="s">
        <v>344</v>
      </c>
      <c r="Q350" s="128">
        <f t="shared" si="35"/>
        <v>1785000</v>
      </c>
      <c r="R350" s="128"/>
      <c r="S350" s="128"/>
      <c r="T350" s="128"/>
      <c r="U350" s="91" t="s">
        <v>1265</v>
      </c>
      <c r="V350" s="91"/>
      <c r="W350" s="138">
        <f t="shared" si="45"/>
        <v>1500000</v>
      </c>
      <c r="X350" s="91" t="s">
        <v>882</v>
      </c>
      <c r="Y350" s="91" t="s">
        <v>883</v>
      </c>
      <c r="Z350" s="91" t="s">
        <v>1155</v>
      </c>
    </row>
    <row r="351" spans="1:26" ht="43" customHeight="1" x14ac:dyDescent="0.35">
      <c r="A351" s="150" t="s">
        <v>1064</v>
      </c>
      <c r="B351" s="91" t="s">
        <v>1003</v>
      </c>
      <c r="C351" s="91" t="s">
        <v>1262</v>
      </c>
      <c r="D351" s="151">
        <v>72101511</v>
      </c>
      <c r="E351" s="91" t="s">
        <v>886</v>
      </c>
      <c r="F351" s="91" t="s">
        <v>1273</v>
      </c>
      <c r="G351" s="83" t="s">
        <v>47</v>
      </c>
      <c r="H351" s="83" t="s">
        <v>47</v>
      </c>
      <c r="I351" s="100">
        <v>1</v>
      </c>
      <c r="J351" s="100" t="s">
        <v>350</v>
      </c>
      <c r="K351" s="128">
        <v>2000000</v>
      </c>
      <c r="L351" s="129">
        <v>0.19</v>
      </c>
      <c r="M351" s="128">
        <f t="shared" si="43"/>
        <v>380000</v>
      </c>
      <c r="N351" s="128">
        <f t="shared" si="44"/>
        <v>2380000</v>
      </c>
      <c r="O351" s="91" t="s">
        <v>343</v>
      </c>
      <c r="P351" s="91" t="s">
        <v>344</v>
      </c>
      <c r="Q351" s="128">
        <f t="shared" si="35"/>
        <v>2380000</v>
      </c>
      <c r="R351" s="128"/>
      <c r="S351" s="128"/>
      <c r="T351" s="128"/>
      <c r="U351" s="91" t="s">
        <v>1265</v>
      </c>
      <c r="V351" s="91"/>
      <c r="W351" s="138">
        <f t="shared" si="45"/>
        <v>2000000</v>
      </c>
      <c r="X351" s="91" t="s">
        <v>882</v>
      </c>
      <c r="Y351" s="91" t="s">
        <v>883</v>
      </c>
      <c r="Z351" s="91" t="s">
        <v>889</v>
      </c>
    </row>
    <row r="352" spans="1:26" ht="43" customHeight="1" x14ac:dyDescent="0.35">
      <c r="A352" s="150" t="s">
        <v>1064</v>
      </c>
      <c r="B352" s="91" t="s">
        <v>1003</v>
      </c>
      <c r="C352" s="91" t="s">
        <v>1262</v>
      </c>
      <c r="D352" s="151">
        <v>90101600</v>
      </c>
      <c r="E352" s="91" t="s">
        <v>1082</v>
      </c>
      <c r="F352" s="91" t="s">
        <v>1083</v>
      </c>
      <c r="G352" s="83" t="s">
        <v>45</v>
      </c>
      <c r="H352" s="83" t="s">
        <v>45</v>
      </c>
      <c r="I352" s="100">
        <v>1</v>
      </c>
      <c r="J352" s="100" t="s">
        <v>350</v>
      </c>
      <c r="K352" s="128">
        <v>5000000</v>
      </c>
      <c r="L352" s="154">
        <v>0.19</v>
      </c>
      <c r="M352" s="128">
        <f>K352*L352</f>
        <v>950000</v>
      </c>
      <c r="N352" s="128">
        <f>M352+K352</f>
        <v>5950000</v>
      </c>
      <c r="O352" s="91" t="s">
        <v>343</v>
      </c>
      <c r="P352" s="91" t="s">
        <v>344</v>
      </c>
      <c r="Q352" s="128">
        <f t="shared" si="35"/>
        <v>5950000</v>
      </c>
      <c r="R352" s="128"/>
      <c r="S352" s="128"/>
      <c r="T352" s="128"/>
      <c r="U352" s="91" t="s">
        <v>1265</v>
      </c>
      <c r="V352" s="91"/>
      <c r="W352" s="98">
        <f>K352</f>
        <v>5000000</v>
      </c>
      <c r="X352" s="91" t="s">
        <v>657</v>
      </c>
      <c r="Y352" s="91" t="s">
        <v>658</v>
      </c>
      <c r="Z352" s="91" t="s">
        <v>659</v>
      </c>
    </row>
    <row r="353" spans="1:26" ht="43" customHeight="1" x14ac:dyDescent="0.35">
      <c r="A353" s="150" t="s">
        <v>1064</v>
      </c>
      <c r="B353" s="91" t="s">
        <v>1003</v>
      </c>
      <c r="C353" s="91" t="s">
        <v>1262</v>
      </c>
      <c r="D353" s="151">
        <v>80141902</v>
      </c>
      <c r="E353" s="91" t="s">
        <v>1066</v>
      </c>
      <c r="F353" s="91" t="s">
        <v>1084</v>
      </c>
      <c r="G353" s="100" t="s">
        <v>53</v>
      </c>
      <c r="H353" s="83" t="s">
        <v>53</v>
      </c>
      <c r="I353" s="100">
        <v>1</v>
      </c>
      <c r="J353" s="100" t="s">
        <v>350</v>
      </c>
      <c r="K353" s="128">
        <v>5000000</v>
      </c>
      <c r="L353" s="154">
        <v>0.19</v>
      </c>
      <c r="M353" s="128">
        <f>K353*L353</f>
        <v>950000</v>
      </c>
      <c r="N353" s="128">
        <f>M353+K353</f>
        <v>5950000</v>
      </c>
      <c r="O353" s="91" t="s">
        <v>343</v>
      </c>
      <c r="P353" s="91" t="s">
        <v>344</v>
      </c>
      <c r="Q353" s="128">
        <f t="shared" si="35"/>
        <v>5950000</v>
      </c>
      <c r="R353" s="128"/>
      <c r="S353" s="128"/>
      <c r="T353" s="128"/>
      <c r="U353" s="91" t="s">
        <v>1265</v>
      </c>
      <c r="V353" s="91"/>
      <c r="W353" s="98">
        <f>K353</f>
        <v>5000000</v>
      </c>
      <c r="X353" s="91" t="s">
        <v>657</v>
      </c>
      <c r="Y353" s="91" t="s">
        <v>658</v>
      </c>
      <c r="Z353" s="91" t="s">
        <v>659</v>
      </c>
    </row>
    <row r="354" spans="1:26" ht="43" customHeight="1" x14ac:dyDescent="0.35">
      <c r="A354" s="150" t="s">
        <v>1064</v>
      </c>
      <c r="B354" s="91" t="s">
        <v>1003</v>
      </c>
      <c r="C354" s="91" t="s">
        <v>1262</v>
      </c>
      <c r="D354" s="151">
        <v>78181703</v>
      </c>
      <c r="E354" s="91" t="s">
        <v>1090</v>
      </c>
      <c r="F354" s="91" t="s">
        <v>1240</v>
      </c>
      <c r="G354" s="83" t="s">
        <v>42</v>
      </c>
      <c r="H354" s="83" t="s">
        <v>42</v>
      </c>
      <c r="I354" s="100">
        <v>12</v>
      </c>
      <c r="J354" s="100" t="s">
        <v>350</v>
      </c>
      <c r="K354" s="128">
        <v>2460674</v>
      </c>
      <c r="L354" s="154">
        <v>0.19</v>
      </c>
      <c r="M354" s="128">
        <f>K354*L354</f>
        <v>467528.06</v>
      </c>
      <c r="N354" s="128">
        <f>M354+K354</f>
        <v>2928202.06</v>
      </c>
      <c r="O354" s="91" t="s">
        <v>343</v>
      </c>
      <c r="P354" s="91" t="s">
        <v>344</v>
      </c>
      <c r="Q354" s="128">
        <f t="shared" si="35"/>
        <v>2928202.06</v>
      </c>
      <c r="R354" s="128"/>
      <c r="S354" s="128"/>
      <c r="T354" s="128"/>
      <c r="U354" s="91" t="s">
        <v>1265</v>
      </c>
      <c r="V354" s="91" t="s">
        <v>1205</v>
      </c>
      <c r="W354" s="98">
        <f>K354</f>
        <v>2460674</v>
      </c>
      <c r="X354" s="91" t="s">
        <v>1093</v>
      </c>
      <c r="Y354" s="91" t="s">
        <v>1094</v>
      </c>
      <c r="Z354" s="91" t="s">
        <v>1094</v>
      </c>
    </row>
    <row r="355" spans="1:26" ht="43" customHeight="1" x14ac:dyDescent="0.35">
      <c r="A355" s="150" t="s">
        <v>1064</v>
      </c>
      <c r="B355" s="91" t="s">
        <v>1003</v>
      </c>
      <c r="C355" s="91" t="s">
        <v>1274</v>
      </c>
      <c r="D355" s="155">
        <v>78181703</v>
      </c>
      <c r="E355" s="91" t="s">
        <v>1090</v>
      </c>
      <c r="F355" s="91" t="s">
        <v>1275</v>
      </c>
      <c r="G355" s="83" t="s">
        <v>42</v>
      </c>
      <c r="H355" s="83" t="s">
        <v>42</v>
      </c>
      <c r="I355" s="100">
        <v>12</v>
      </c>
      <c r="J355" s="100" t="s">
        <v>350</v>
      </c>
      <c r="K355" s="128">
        <v>4921349</v>
      </c>
      <c r="L355" s="129">
        <v>0.19</v>
      </c>
      <c r="M355" s="128">
        <f>+K355*L355</f>
        <v>935056.31</v>
      </c>
      <c r="N355" s="128">
        <f>+K355+M355</f>
        <v>5856405.3100000005</v>
      </c>
      <c r="O355" s="91" t="s">
        <v>343</v>
      </c>
      <c r="P355" s="91" t="s">
        <v>344</v>
      </c>
      <c r="Q355" s="128">
        <f t="shared" ref="Q355:Q414" si="46">N355</f>
        <v>5856405.3100000005</v>
      </c>
      <c r="R355" s="128"/>
      <c r="S355" s="128"/>
      <c r="T355" s="128"/>
      <c r="U355" s="91" t="s">
        <v>1276</v>
      </c>
      <c r="V355" s="91" t="s">
        <v>1092</v>
      </c>
      <c r="W355" s="138">
        <f>+Q355/1.19</f>
        <v>4921349.0000000009</v>
      </c>
      <c r="X355" s="91" t="s">
        <v>1093</v>
      </c>
      <c r="Y355" s="91" t="s">
        <v>1094</v>
      </c>
      <c r="Z355" s="91" t="s">
        <v>1094</v>
      </c>
    </row>
    <row r="356" spans="1:26" ht="43" customHeight="1" x14ac:dyDescent="0.35">
      <c r="A356" s="150" t="s">
        <v>1064</v>
      </c>
      <c r="B356" s="91" t="s">
        <v>1003</v>
      </c>
      <c r="C356" s="91" t="s">
        <v>1274</v>
      </c>
      <c r="D356" s="151" t="s">
        <v>1086</v>
      </c>
      <c r="E356" s="91" t="s">
        <v>1066</v>
      </c>
      <c r="F356" s="91" t="s">
        <v>1277</v>
      </c>
      <c r="G356" s="83" t="s">
        <v>49</v>
      </c>
      <c r="H356" s="83" t="s">
        <v>49</v>
      </c>
      <c r="I356" s="100">
        <v>1</v>
      </c>
      <c r="J356" s="100" t="s">
        <v>1068</v>
      </c>
      <c r="K356" s="138">
        <v>1000000</v>
      </c>
      <c r="L356" s="129">
        <v>0.19</v>
      </c>
      <c r="M356" s="128">
        <f>+K356*L356</f>
        <v>190000</v>
      </c>
      <c r="N356" s="128">
        <f>+K356+M356</f>
        <v>1190000</v>
      </c>
      <c r="O356" s="91" t="s">
        <v>343</v>
      </c>
      <c r="P356" s="91" t="s">
        <v>344</v>
      </c>
      <c r="Q356" s="128">
        <f t="shared" si="46"/>
        <v>1190000</v>
      </c>
      <c r="R356" s="128"/>
      <c r="S356" s="128"/>
      <c r="T356" s="128"/>
      <c r="U356" s="91" t="s">
        <v>1276</v>
      </c>
      <c r="V356" s="91"/>
      <c r="W356" s="138">
        <f>+Q356/1.19</f>
        <v>1000000</v>
      </c>
      <c r="X356" s="104" t="s">
        <v>811</v>
      </c>
      <c r="Y356" s="104" t="s">
        <v>811</v>
      </c>
      <c r="Z356" s="104" t="s">
        <v>825</v>
      </c>
    </row>
    <row r="357" spans="1:26" ht="43" customHeight="1" x14ac:dyDescent="0.35">
      <c r="A357" s="150" t="s">
        <v>1064</v>
      </c>
      <c r="B357" s="91" t="s">
        <v>1003</v>
      </c>
      <c r="C357" s="91" t="s">
        <v>1274</v>
      </c>
      <c r="D357" s="151" t="s">
        <v>1086</v>
      </c>
      <c r="E357" s="91" t="s">
        <v>1066</v>
      </c>
      <c r="F357" s="91" t="s">
        <v>1278</v>
      </c>
      <c r="G357" s="100" t="s">
        <v>53</v>
      </c>
      <c r="H357" s="83" t="s">
        <v>53</v>
      </c>
      <c r="I357" s="100">
        <v>1</v>
      </c>
      <c r="J357" s="100" t="s">
        <v>350</v>
      </c>
      <c r="K357" s="128">
        <v>2000000</v>
      </c>
      <c r="L357" s="129">
        <v>0.19</v>
      </c>
      <c r="M357" s="128">
        <f>+K357*L357</f>
        <v>380000</v>
      </c>
      <c r="N357" s="128">
        <f>+K357+M357</f>
        <v>2380000</v>
      </c>
      <c r="O357" s="91" t="s">
        <v>343</v>
      </c>
      <c r="P357" s="91" t="s">
        <v>344</v>
      </c>
      <c r="Q357" s="128">
        <f t="shared" si="46"/>
        <v>2380000</v>
      </c>
      <c r="R357" s="128"/>
      <c r="S357" s="128"/>
      <c r="T357" s="128"/>
      <c r="U357" s="91" t="s">
        <v>1276</v>
      </c>
      <c r="V357" s="91"/>
      <c r="W357" s="138">
        <f>+Q357/1.19</f>
        <v>2000000</v>
      </c>
      <c r="X357" s="104" t="s">
        <v>811</v>
      </c>
      <c r="Y357" s="104" t="s">
        <v>811</v>
      </c>
      <c r="Z357" s="104" t="s">
        <v>825</v>
      </c>
    </row>
    <row r="358" spans="1:26" ht="43" customHeight="1" x14ac:dyDescent="0.35">
      <c r="A358" s="150" t="s">
        <v>1064</v>
      </c>
      <c r="B358" s="91" t="s">
        <v>1003</v>
      </c>
      <c r="C358" s="91" t="s">
        <v>1274</v>
      </c>
      <c r="D358" s="151">
        <v>72101511</v>
      </c>
      <c r="E358" s="91" t="s">
        <v>886</v>
      </c>
      <c r="F358" s="91" t="s">
        <v>1279</v>
      </c>
      <c r="G358" s="83" t="s">
        <v>42</v>
      </c>
      <c r="H358" s="83" t="s">
        <v>42</v>
      </c>
      <c r="I358" s="100">
        <v>12</v>
      </c>
      <c r="J358" s="100" t="s">
        <v>350</v>
      </c>
      <c r="K358" s="128">
        <v>4000000</v>
      </c>
      <c r="L358" s="129">
        <v>0.19</v>
      </c>
      <c r="M358" s="128">
        <f>+K358*L358</f>
        <v>760000</v>
      </c>
      <c r="N358" s="128">
        <f>+K358+M358</f>
        <v>4760000</v>
      </c>
      <c r="O358" s="91" t="s">
        <v>343</v>
      </c>
      <c r="P358" s="91" t="s">
        <v>344</v>
      </c>
      <c r="Q358" s="128">
        <f t="shared" si="46"/>
        <v>4760000</v>
      </c>
      <c r="R358" s="128"/>
      <c r="S358" s="128"/>
      <c r="T358" s="128"/>
      <c r="U358" s="91" t="s">
        <v>1276</v>
      </c>
      <c r="V358" s="91"/>
      <c r="W358" s="138">
        <f>+Q358/1.19</f>
        <v>4000000</v>
      </c>
      <c r="X358" s="91" t="s">
        <v>882</v>
      </c>
      <c r="Y358" s="91" t="s">
        <v>883</v>
      </c>
      <c r="Z358" s="91" t="s">
        <v>889</v>
      </c>
    </row>
    <row r="359" spans="1:26" ht="43" customHeight="1" x14ac:dyDescent="0.35">
      <c r="A359" s="150" t="s">
        <v>1064</v>
      </c>
      <c r="B359" s="91" t="s">
        <v>1003</v>
      </c>
      <c r="C359" s="91" t="s">
        <v>1274</v>
      </c>
      <c r="D359" s="151">
        <v>90101600</v>
      </c>
      <c r="E359" s="91" t="s">
        <v>1082</v>
      </c>
      <c r="F359" s="91" t="s">
        <v>1083</v>
      </c>
      <c r="G359" s="83" t="s">
        <v>45</v>
      </c>
      <c r="H359" s="83" t="s">
        <v>45</v>
      </c>
      <c r="I359" s="100">
        <v>1</v>
      </c>
      <c r="J359" s="100" t="s">
        <v>350</v>
      </c>
      <c r="K359" s="128">
        <v>6000000</v>
      </c>
      <c r="L359" s="154">
        <v>0.19</v>
      </c>
      <c r="M359" s="128">
        <f>K359*L359</f>
        <v>1140000</v>
      </c>
      <c r="N359" s="128">
        <f>M359+K359</f>
        <v>7140000</v>
      </c>
      <c r="O359" s="91" t="s">
        <v>343</v>
      </c>
      <c r="P359" s="91" t="s">
        <v>344</v>
      </c>
      <c r="Q359" s="128">
        <f t="shared" si="46"/>
        <v>7140000</v>
      </c>
      <c r="R359" s="128"/>
      <c r="S359" s="128"/>
      <c r="T359" s="128"/>
      <c r="U359" s="91" t="s">
        <v>1280</v>
      </c>
      <c r="V359" s="91"/>
      <c r="W359" s="98">
        <f>K359</f>
        <v>6000000</v>
      </c>
      <c r="X359" s="91" t="s">
        <v>657</v>
      </c>
      <c r="Y359" s="91" t="s">
        <v>658</v>
      </c>
      <c r="Z359" s="91" t="s">
        <v>659</v>
      </c>
    </row>
    <row r="360" spans="1:26" ht="43" customHeight="1" x14ac:dyDescent="0.35">
      <c r="A360" s="150" t="s">
        <v>1064</v>
      </c>
      <c r="B360" s="91" t="s">
        <v>1003</v>
      </c>
      <c r="C360" s="91" t="s">
        <v>1274</v>
      </c>
      <c r="D360" s="151">
        <v>80141902</v>
      </c>
      <c r="E360" s="91" t="s">
        <v>1066</v>
      </c>
      <c r="F360" s="91" t="s">
        <v>1084</v>
      </c>
      <c r="G360" s="100" t="s">
        <v>53</v>
      </c>
      <c r="H360" s="83" t="s">
        <v>53</v>
      </c>
      <c r="I360" s="100">
        <v>1</v>
      </c>
      <c r="J360" s="100" t="s">
        <v>350</v>
      </c>
      <c r="K360" s="128">
        <v>6000000</v>
      </c>
      <c r="L360" s="154">
        <v>0.19</v>
      </c>
      <c r="M360" s="128">
        <f>K360*L360</f>
        <v>1140000</v>
      </c>
      <c r="N360" s="128">
        <f>M360+K360</f>
        <v>7140000</v>
      </c>
      <c r="O360" s="91" t="s">
        <v>343</v>
      </c>
      <c r="P360" s="91" t="s">
        <v>344</v>
      </c>
      <c r="Q360" s="128">
        <f t="shared" si="46"/>
        <v>7140000</v>
      </c>
      <c r="R360" s="128"/>
      <c r="S360" s="128"/>
      <c r="T360" s="128"/>
      <c r="U360" s="91" t="s">
        <v>1280</v>
      </c>
      <c r="V360" s="91"/>
      <c r="W360" s="98">
        <f>K360</f>
        <v>6000000</v>
      </c>
      <c r="X360" s="91" t="s">
        <v>657</v>
      </c>
      <c r="Y360" s="91" t="s">
        <v>658</v>
      </c>
      <c r="Z360" s="91" t="s">
        <v>659</v>
      </c>
    </row>
    <row r="361" spans="1:26" ht="43" customHeight="1" x14ac:dyDescent="0.35">
      <c r="A361" s="150" t="s">
        <v>1064</v>
      </c>
      <c r="B361" s="91" t="s">
        <v>1003</v>
      </c>
      <c r="C361" s="91" t="s">
        <v>1281</v>
      </c>
      <c r="D361" s="151">
        <v>82121507</v>
      </c>
      <c r="E361" s="26" t="s">
        <v>1128</v>
      </c>
      <c r="F361" s="26" t="s">
        <v>1282</v>
      </c>
      <c r="G361" s="83" t="s">
        <v>44</v>
      </c>
      <c r="H361" s="83" t="s">
        <v>45</v>
      </c>
      <c r="I361" s="100">
        <v>8</v>
      </c>
      <c r="J361" s="100" t="s">
        <v>350</v>
      </c>
      <c r="K361" s="138">
        <v>2857143</v>
      </c>
      <c r="L361" s="129">
        <v>0.19</v>
      </c>
      <c r="M361" s="128">
        <f>+K361*L361</f>
        <v>542857.17000000004</v>
      </c>
      <c r="N361" s="128">
        <f>+K361+M361</f>
        <v>3400000.17</v>
      </c>
      <c r="O361" s="91" t="s">
        <v>343</v>
      </c>
      <c r="P361" s="91" t="s">
        <v>344</v>
      </c>
      <c r="Q361" s="128">
        <f t="shared" si="46"/>
        <v>3400000.17</v>
      </c>
      <c r="R361" s="128"/>
      <c r="S361" s="128"/>
      <c r="T361" s="128"/>
      <c r="U361" s="91" t="s">
        <v>1283</v>
      </c>
      <c r="V361" s="91"/>
      <c r="W361" s="138">
        <f>+Q361/1.19</f>
        <v>2857143</v>
      </c>
      <c r="X361" s="91" t="s">
        <v>1284</v>
      </c>
      <c r="Y361" s="91"/>
      <c r="Z361" s="91"/>
    </row>
    <row r="362" spans="1:26" ht="43" customHeight="1" x14ac:dyDescent="0.35">
      <c r="A362" s="150" t="s">
        <v>1064</v>
      </c>
      <c r="B362" s="91" t="s">
        <v>1003</v>
      </c>
      <c r="C362" s="91" t="s">
        <v>1281</v>
      </c>
      <c r="D362" s="151">
        <v>72101511</v>
      </c>
      <c r="E362" s="91" t="s">
        <v>886</v>
      </c>
      <c r="F362" s="91" t="s">
        <v>1285</v>
      </c>
      <c r="G362" s="83" t="s">
        <v>44</v>
      </c>
      <c r="H362" s="83" t="s">
        <v>45</v>
      </c>
      <c r="I362" s="100">
        <v>8</v>
      </c>
      <c r="J362" s="100" t="s">
        <v>1068</v>
      </c>
      <c r="K362" s="138">
        <v>729300</v>
      </c>
      <c r="L362" s="129">
        <v>0</v>
      </c>
      <c r="M362" s="128">
        <f>+K362*L362</f>
        <v>0</v>
      </c>
      <c r="N362" s="128">
        <f>+K362+M362</f>
        <v>729300</v>
      </c>
      <c r="O362" s="91" t="s">
        <v>343</v>
      </c>
      <c r="P362" s="91" t="s">
        <v>344</v>
      </c>
      <c r="Q362" s="128">
        <f t="shared" si="46"/>
        <v>729300</v>
      </c>
      <c r="R362" s="128"/>
      <c r="S362" s="128"/>
      <c r="T362" s="128"/>
      <c r="U362" s="91" t="s">
        <v>1283</v>
      </c>
      <c r="V362" s="91" t="s">
        <v>1286</v>
      </c>
      <c r="W362" s="138">
        <f>+K362</f>
        <v>729300</v>
      </c>
      <c r="X362" s="91" t="s">
        <v>882</v>
      </c>
      <c r="Y362" s="91" t="s">
        <v>883</v>
      </c>
      <c r="Z362" s="91" t="s">
        <v>889</v>
      </c>
    </row>
    <row r="363" spans="1:26" ht="43" customHeight="1" x14ac:dyDescent="0.35">
      <c r="A363" s="150" t="s">
        <v>1064</v>
      </c>
      <c r="B363" s="91" t="s">
        <v>1003</v>
      </c>
      <c r="C363" s="91" t="s">
        <v>1281</v>
      </c>
      <c r="D363" s="151">
        <v>72151511</v>
      </c>
      <c r="E363" s="91" t="s">
        <v>1287</v>
      </c>
      <c r="F363" s="91" t="s">
        <v>1288</v>
      </c>
      <c r="G363" s="83" t="s">
        <v>44</v>
      </c>
      <c r="H363" s="83" t="s">
        <v>45</v>
      </c>
      <c r="I363" s="100">
        <v>8</v>
      </c>
      <c r="J363" s="100" t="s">
        <v>1068</v>
      </c>
      <c r="K363" s="138">
        <v>795600</v>
      </c>
      <c r="L363" s="129">
        <v>0</v>
      </c>
      <c r="M363" s="128">
        <f>+K363*L363</f>
        <v>0</v>
      </c>
      <c r="N363" s="128">
        <f>+K363+M363</f>
        <v>795600</v>
      </c>
      <c r="O363" s="91" t="s">
        <v>343</v>
      </c>
      <c r="P363" s="91" t="s">
        <v>344</v>
      </c>
      <c r="Q363" s="128">
        <f t="shared" si="46"/>
        <v>795600</v>
      </c>
      <c r="R363" s="128"/>
      <c r="S363" s="128"/>
      <c r="T363" s="128"/>
      <c r="U363" s="91" t="s">
        <v>1283</v>
      </c>
      <c r="V363" s="91" t="s">
        <v>1286</v>
      </c>
      <c r="W363" s="138">
        <f>+N363</f>
        <v>795600</v>
      </c>
      <c r="X363" s="91" t="s">
        <v>882</v>
      </c>
      <c r="Y363" s="91" t="s">
        <v>883</v>
      </c>
      <c r="Z363" s="91" t="s">
        <v>883</v>
      </c>
    </row>
    <row r="364" spans="1:26" ht="43" customHeight="1" x14ac:dyDescent="0.35">
      <c r="A364" s="150" t="s">
        <v>1064</v>
      </c>
      <c r="B364" s="91" t="s">
        <v>1003</v>
      </c>
      <c r="C364" s="91" t="s">
        <v>1281</v>
      </c>
      <c r="D364" s="151">
        <v>82121700</v>
      </c>
      <c r="E364" s="91" t="s">
        <v>1289</v>
      </c>
      <c r="F364" s="152" t="s">
        <v>1290</v>
      </c>
      <c r="G364" s="83" t="s">
        <v>44</v>
      </c>
      <c r="H364" s="83" t="s">
        <v>45</v>
      </c>
      <c r="I364" s="100">
        <v>8</v>
      </c>
      <c r="J364" s="100" t="s">
        <v>1068</v>
      </c>
      <c r="K364" s="138">
        <v>831071</v>
      </c>
      <c r="L364" s="129">
        <v>0.19</v>
      </c>
      <c r="M364" s="128">
        <f>+K364*L364</f>
        <v>157903.49</v>
      </c>
      <c r="N364" s="128">
        <f>+K364+M364</f>
        <v>988974.49</v>
      </c>
      <c r="O364" s="91" t="s">
        <v>343</v>
      </c>
      <c r="P364" s="91" t="s">
        <v>344</v>
      </c>
      <c r="Q364" s="128">
        <f t="shared" si="46"/>
        <v>988974.49</v>
      </c>
      <c r="R364" s="128"/>
      <c r="S364" s="128"/>
      <c r="T364" s="128"/>
      <c r="U364" s="91" t="s">
        <v>1291</v>
      </c>
      <c r="V364" s="91"/>
      <c r="W364" s="138">
        <f>+Q364/1.19</f>
        <v>831071</v>
      </c>
      <c r="X364" s="91" t="s">
        <v>643</v>
      </c>
      <c r="Y364" s="161" t="s">
        <v>643</v>
      </c>
      <c r="Z364" s="161" t="s">
        <v>1292</v>
      </c>
    </row>
    <row r="365" spans="1:26" ht="43" customHeight="1" x14ac:dyDescent="0.35">
      <c r="A365" s="150" t="s">
        <v>1064</v>
      </c>
      <c r="B365" s="91" t="s">
        <v>1003</v>
      </c>
      <c r="C365" s="91" t="s">
        <v>1281</v>
      </c>
      <c r="D365" s="151">
        <v>90101600</v>
      </c>
      <c r="E365" s="91" t="s">
        <v>1082</v>
      </c>
      <c r="F365" s="91" t="s">
        <v>1083</v>
      </c>
      <c r="G365" s="83" t="s">
        <v>45</v>
      </c>
      <c r="H365" s="83" t="s">
        <v>45</v>
      </c>
      <c r="I365" s="100">
        <v>1</v>
      </c>
      <c r="J365" s="100" t="s">
        <v>350</v>
      </c>
      <c r="K365" s="128">
        <v>3000000</v>
      </c>
      <c r="L365" s="154">
        <v>0.19</v>
      </c>
      <c r="M365" s="128">
        <f>K365*L365</f>
        <v>570000</v>
      </c>
      <c r="N365" s="128">
        <f>M365+K365</f>
        <v>3570000</v>
      </c>
      <c r="O365" s="91" t="s">
        <v>343</v>
      </c>
      <c r="P365" s="91" t="s">
        <v>344</v>
      </c>
      <c r="Q365" s="128">
        <f t="shared" si="46"/>
        <v>3570000</v>
      </c>
      <c r="R365" s="128"/>
      <c r="S365" s="128"/>
      <c r="T365" s="128"/>
      <c r="U365" s="91" t="s">
        <v>1291</v>
      </c>
      <c r="V365" s="91"/>
      <c r="W365" s="98">
        <f>K365</f>
        <v>3000000</v>
      </c>
      <c r="X365" s="91" t="s">
        <v>657</v>
      </c>
      <c r="Y365" s="91" t="s">
        <v>658</v>
      </c>
      <c r="Z365" s="91" t="s">
        <v>659</v>
      </c>
    </row>
    <row r="366" spans="1:26" ht="43" customHeight="1" x14ac:dyDescent="0.35">
      <c r="A366" s="150" t="s">
        <v>1064</v>
      </c>
      <c r="B366" s="91" t="s">
        <v>1003</v>
      </c>
      <c r="C366" s="91" t="s">
        <v>1281</v>
      </c>
      <c r="D366" s="151">
        <v>80141902</v>
      </c>
      <c r="E366" s="91" t="s">
        <v>1066</v>
      </c>
      <c r="F366" s="91" t="s">
        <v>1084</v>
      </c>
      <c r="G366" s="100" t="s">
        <v>53</v>
      </c>
      <c r="H366" s="83" t="s">
        <v>53</v>
      </c>
      <c r="I366" s="100">
        <v>1</v>
      </c>
      <c r="J366" s="100" t="s">
        <v>350</v>
      </c>
      <c r="K366" s="128">
        <v>3000000</v>
      </c>
      <c r="L366" s="154">
        <v>0.19</v>
      </c>
      <c r="M366" s="128">
        <f>K366*L366</f>
        <v>570000</v>
      </c>
      <c r="N366" s="128">
        <f>M366+K366</f>
        <v>3570000</v>
      </c>
      <c r="O366" s="91" t="s">
        <v>343</v>
      </c>
      <c r="P366" s="91" t="s">
        <v>344</v>
      </c>
      <c r="Q366" s="128">
        <f t="shared" si="46"/>
        <v>3570000</v>
      </c>
      <c r="R366" s="128"/>
      <c r="S366" s="128"/>
      <c r="T366" s="128"/>
      <c r="U366" s="91" t="s">
        <v>1291</v>
      </c>
      <c r="V366" s="91"/>
      <c r="W366" s="98">
        <f>K366</f>
        <v>3000000</v>
      </c>
      <c r="X366" s="91" t="s">
        <v>657</v>
      </c>
      <c r="Y366" s="91" t="s">
        <v>658</v>
      </c>
      <c r="Z366" s="91" t="s">
        <v>659</v>
      </c>
    </row>
    <row r="367" spans="1:26" ht="43" customHeight="1" x14ac:dyDescent="0.35">
      <c r="A367" s="150" t="s">
        <v>1064</v>
      </c>
      <c r="B367" s="91" t="s">
        <v>1003</v>
      </c>
      <c r="C367" s="91" t="s">
        <v>1293</v>
      </c>
      <c r="D367" s="151">
        <v>90101600</v>
      </c>
      <c r="E367" s="91" t="s">
        <v>1082</v>
      </c>
      <c r="F367" s="91" t="s">
        <v>1083</v>
      </c>
      <c r="G367" s="83" t="s">
        <v>45</v>
      </c>
      <c r="H367" s="83" t="s">
        <v>45</v>
      </c>
      <c r="I367" s="100">
        <v>1</v>
      </c>
      <c r="J367" s="100" t="s">
        <v>1068</v>
      </c>
      <c r="K367" s="128">
        <v>1639200</v>
      </c>
      <c r="L367" s="154">
        <v>0.19</v>
      </c>
      <c r="M367" s="128">
        <f>K367*L367</f>
        <v>311448</v>
      </c>
      <c r="N367" s="128">
        <f>M367+K367</f>
        <v>1950648</v>
      </c>
      <c r="O367" s="91" t="s">
        <v>343</v>
      </c>
      <c r="P367" s="91" t="s">
        <v>344</v>
      </c>
      <c r="Q367" s="128">
        <f t="shared" si="46"/>
        <v>1950648</v>
      </c>
      <c r="R367" s="128"/>
      <c r="S367" s="128"/>
      <c r="T367" s="128"/>
      <c r="U367" s="91" t="s">
        <v>1294</v>
      </c>
      <c r="V367" s="91"/>
      <c r="W367" s="98">
        <f>K367</f>
        <v>1639200</v>
      </c>
      <c r="X367" s="91" t="s">
        <v>657</v>
      </c>
      <c r="Y367" s="91" t="s">
        <v>658</v>
      </c>
      <c r="Z367" s="91" t="s">
        <v>659</v>
      </c>
    </row>
    <row r="368" spans="1:26" ht="43" customHeight="1" x14ac:dyDescent="0.35">
      <c r="A368" s="150" t="s">
        <v>1064</v>
      </c>
      <c r="B368" s="91" t="s">
        <v>1003</v>
      </c>
      <c r="C368" s="91" t="s">
        <v>1293</v>
      </c>
      <c r="D368" s="151">
        <v>80141902</v>
      </c>
      <c r="E368" s="91" t="s">
        <v>1066</v>
      </c>
      <c r="F368" s="91" t="s">
        <v>1084</v>
      </c>
      <c r="G368" s="100" t="s">
        <v>53</v>
      </c>
      <c r="H368" s="83" t="s">
        <v>53</v>
      </c>
      <c r="I368" s="100">
        <v>1</v>
      </c>
      <c r="J368" s="100" t="s">
        <v>1068</v>
      </c>
      <c r="K368" s="128">
        <v>1639200</v>
      </c>
      <c r="L368" s="154">
        <v>0.19</v>
      </c>
      <c r="M368" s="128">
        <f>K368*L368</f>
        <v>311448</v>
      </c>
      <c r="N368" s="128">
        <f>M368+K368</f>
        <v>1950648</v>
      </c>
      <c r="O368" s="91" t="s">
        <v>343</v>
      </c>
      <c r="P368" s="91" t="s">
        <v>344</v>
      </c>
      <c r="Q368" s="128">
        <f t="shared" si="46"/>
        <v>1950648</v>
      </c>
      <c r="R368" s="128"/>
      <c r="S368" s="128"/>
      <c r="T368" s="128"/>
      <c r="U368" s="91" t="s">
        <v>1294</v>
      </c>
      <c r="V368" s="91"/>
      <c r="W368" s="98">
        <f>K368</f>
        <v>1639200</v>
      </c>
      <c r="X368" s="91" t="s">
        <v>657</v>
      </c>
      <c r="Y368" s="91" t="s">
        <v>658</v>
      </c>
      <c r="Z368" s="91" t="s">
        <v>659</v>
      </c>
    </row>
    <row r="369" spans="1:26" ht="43" customHeight="1" x14ac:dyDescent="0.35">
      <c r="A369" s="150" t="s">
        <v>1064</v>
      </c>
      <c r="B369" s="91" t="s">
        <v>1003</v>
      </c>
      <c r="C369" s="91" t="s">
        <v>1293</v>
      </c>
      <c r="D369" s="151">
        <v>80141902</v>
      </c>
      <c r="E369" s="91" t="s">
        <v>1066</v>
      </c>
      <c r="F369" s="91" t="s">
        <v>1295</v>
      </c>
      <c r="G369" s="83" t="s">
        <v>52</v>
      </c>
      <c r="H369" s="83" t="s">
        <v>53</v>
      </c>
      <c r="I369" s="100">
        <v>1</v>
      </c>
      <c r="J369" s="100" t="s">
        <v>1068</v>
      </c>
      <c r="K369" s="128">
        <v>500000</v>
      </c>
      <c r="L369" s="129">
        <v>0.08</v>
      </c>
      <c r="M369" s="128">
        <f t="shared" ref="M369:M379" si="47">+K369*L369</f>
        <v>40000</v>
      </c>
      <c r="N369" s="128">
        <f t="shared" ref="N369:N379" si="48">+K369+M369</f>
        <v>540000</v>
      </c>
      <c r="O369" s="91" t="s">
        <v>343</v>
      </c>
      <c r="P369" s="91" t="s">
        <v>344</v>
      </c>
      <c r="Q369" s="128">
        <f t="shared" si="46"/>
        <v>540000</v>
      </c>
      <c r="R369" s="128"/>
      <c r="S369" s="128"/>
      <c r="T369" s="128"/>
      <c r="U369" s="91" t="s">
        <v>1296</v>
      </c>
      <c r="V369" s="91" t="s">
        <v>1297</v>
      </c>
      <c r="W369" s="138">
        <f>+Q369/1.08</f>
        <v>499999.99999999994</v>
      </c>
      <c r="X369" s="104" t="s">
        <v>811</v>
      </c>
      <c r="Y369" s="104" t="s">
        <v>811</v>
      </c>
      <c r="Z369" s="104" t="s">
        <v>825</v>
      </c>
    </row>
    <row r="370" spans="1:26" ht="43" customHeight="1" x14ac:dyDescent="0.35">
      <c r="A370" s="150" t="s">
        <v>1064</v>
      </c>
      <c r="B370" s="91" t="s">
        <v>1003</v>
      </c>
      <c r="C370" s="91" t="s">
        <v>1293</v>
      </c>
      <c r="D370" s="155">
        <v>72101511</v>
      </c>
      <c r="E370" s="91" t="s">
        <v>886</v>
      </c>
      <c r="F370" s="91" t="s">
        <v>1298</v>
      </c>
      <c r="G370" s="83" t="s">
        <v>42</v>
      </c>
      <c r="H370" s="83" t="s">
        <v>42</v>
      </c>
      <c r="I370" s="100">
        <v>12</v>
      </c>
      <c r="J370" s="100" t="s">
        <v>350</v>
      </c>
      <c r="K370" s="128">
        <v>2400000</v>
      </c>
      <c r="L370" s="129">
        <v>0.19</v>
      </c>
      <c r="M370" s="128">
        <f t="shared" si="47"/>
        <v>456000</v>
      </c>
      <c r="N370" s="128">
        <f t="shared" si="48"/>
        <v>2856000</v>
      </c>
      <c r="O370" s="91" t="s">
        <v>358</v>
      </c>
      <c r="P370" s="91" t="s">
        <v>359</v>
      </c>
      <c r="Q370" s="128">
        <f t="shared" si="46"/>
        <v>2856000</v>
      </c>
      <c r="R370" s="128"/>
      <c r="S370" s="128"/>
      <c r="T370" s="128"/>
      <c r="U370" s="91" t="s">
        <v>1296</v>
      </c>
      <c r="V370" s="91" t="s">
        <v>1299</v>
      </c>
      <c r="W370" s="138">
        <f t="shared" ref="W370:W379" si="49">+Q370/1.19</f>
        <v>2400000</v>
      </c>
      <c r="X370" s="91" t="s">
        <v>882</v>
      </c>
      <c r="Y370" s="91" t="s">
        <v>883</v>
      </c>
      <c r="Z370" s="91" t="s">
        <v>889</v>
      </c>
    </row>
    <row r="371" spans="1:26" ht="43" customHeight="1" x14ac:dyDescent="0.35">
      <c r="A371" s="150" t="s">
        <v>1064</v>
      </c>
      <c r="B371" s="91" t="s">
        <v>1003</v>
      </c>
      <c r="C371" s="91" t="s">
        <v>1293</v>
      </c>
      <c r="D371" s="151">
        <v>73152108</v>
      </c>
      <c r="E371" s="91" t="s">
        <v>1153</v>
      </c>
      <c r="F371" s="91" t="s">
        <v>1300</v>
      </c>
      <c r="G371" s="83" t="s">
        <v>42</v>
      </c>
      <c r="H371" s="83" t="s">
        <v>42</v>
      </c>
      <c r="I371" s="100">
        <v>12</v>
      </c>
      <c r="J371" s="100" t="s">
        <v>1068</v>
      </c>
      <c r="K371" s="128">
        <v>650000</v>
      </c>
      <c r="L371" s="129">
        <v>0.19</v>
      </c>
      <c r="M371" s="128">
        <f t="shared" si="47"/>
        <v>123500</v>
      </c>
      <c r="N371" s="128">
        <f t="shared" si="48"/>
        <v>773500</v>
      </c>
      <c r="O371" s="91" t="s">
        <v>358</v>
      </c>
      <c r="P371" s="91" t="s">
        <v>359</v>
      </c>
      <c r="Q371" s="128">
        <f t="shared" si="46"/>
        <v>773500</v>
      </c>
      <c r="R371" s="128"/>
      <c r="S371" s="128"/>
      <c r="T371" s="128"/>
      <c r="U371" s="91" t="s">
        <v>1296</v>
      </c>
      <c r="V371" s="91" t="s">
        <v>1301</v>
      </c>
      <c r="W371" s="138">
        <f t="shared" si="49"/>
        <v>650000</v>
      </c>
      <c r="X371" s="91" t="s">
        <v>882</v>
      </c>
      <c r="Y371" s="91" t="s">
        <v>883</v>
      </c>
      <c r="Z371" s="91" t="s">
        <v>1155</v>
      </c>
    </row>
    <row r="372" spans="1:26" ht="43" customHeight="1" x14ac:dyDescent="0.35">
      <c r="A372" s="150" t="s">
        <v>1064</v>
      </c>
      <c r="B372" s="91" t="s">
        <v>1003</v>
      </c>
      <c r="C372" s="91" t="s">
        <v>1293</v>
      </c>
      <c r="D372" s="151">
        <v>80131502</v>
      </c>
      <c r="E372" s="91" t="s">
        <v>1071</v>
      </c>
      <c r="F372" s="91" t="s">
        <v>1302</v>
      </c>
      <c r="G372" s="83" t="s">
        <v>42</v>
      </c>
      <c r="H372" s="83" t="s">
        <v>42</v>
      </c>
      <c r="I372" s="100">
        <v>12</v>
      </c>
      <c r="J372" s="100" t="s">
        <v>350</v>
      </c>
      <c r="K372" s="128">
        <v>16800000</v>
      </c>
      <c r="L372" s="129">
        <v>0.19</v>
      </c>
      <c r="M372" s="128">
        <f t="shared" si="47"/>
        <v>3192000</v>
      </c>
      <c r="N372" s="128">
        <f t="shared" si="48"/>
        <v>19992000</v>
      </c>
      <c r="O372" s="91" t="s">
        <v>358</v>
      </c>
      <c r="P372" s="91" t="s">
        <v>570</v>
      </c>
      <c r="Q372" s="128">
        <f t="shared" si="46"/>
        <v>19992000</v>
      </c>
      <c r="R372" s="128"/>
      <c r="S372" s="128"/>
      <c r="T372" s="128"/>
      <c r="U372" s="91" t="s">
        <v>1296</v>
      </c>
      <c r="V372" s="91" t="s">
        <v>1303</v>
      </c>
      <c r="W372" s="138">
        <f t="shared" si="49"/>
        <v>16800000</v>
      </c>
      <c r="X372" s="91" t="s">
        <v>1073</v>
      </c>
      <c r="Y372" s="91" t="s">
        <v>1073</v>
      </c>
      <c r="Z372" s="91" t="s">
        <v>1074</v>
      </c>
    </row>
    <row r="373" spans="1:26" ht="43" customHeight="1" x14ac:dyDescent="0.35">
      <c r="A373" s="150" t="s">
        <v>1064</v>
      </c>
      <c r="B373" s="91" t="s">
        <v>1003</v>
      </c>
      <c r="C373" s="91" t="s">
        <v>1293</v>
      </c>
      <c r="D373" s="151">
        <v>72154066</v>
      </c>
      <c r="E373" s="91" t="s">
        <v>1201</v>
      </c>
      <c r="F373" s="91" t="s">
        <v>1304</v>
      </c>
      <c r="G373" s="83" t="s">
        <v>42</v>
      </c>
      <c r="H373" s="83" t="s">
        <v>42</v>
      </c>
      <c r="I373" s="100">
        <v>12</v>
      </c>
      <c r="J373" s="100" t="s">
        <v>1068</v>
      </c>
      <c r="K373" s="128">
        <v>310089</v>
      </c>
      <c r="L373" s="129">
        <v>0.19</v>
      </c>
      <c r="M373" s="128">
        <f t="shared" si="47"/>
        <v>58916.91</v>
      </c>
      <c r="N373" s="128">
        <f t="shared" si="48"/>
        <v>369005.91000000003</v>
      </c>
      <c r="O373" s="91" t="s">
        <v>358</v>
      </c>
      <c r="P373" s="91" t="s">
        <v>359</v>
      </c>
      <c r="Q373" s="128">
        <f t="shared" si="46"/>
        <v>369005.91000000003</v>
      </c>
      <c r="R373" s="128"/>
      <c r="S373" s="128"/>
      <c r="T373" s="128"/>
      <c r="U373" s="91" t="s">
        <v>1296</v>
      </c>
      <c r="V373" s="91" t="s">
        <v>1305</v>
      </c>
      <c r="W373" s="138">
        <f t="shared" si="49"/>
        <v>310089.00000000006</v>
      </c>
      <c r="X373" s="91" t="s">
        <v>882</v>
      </c>
      <c r="Y373" s="91" t="s">
        <v>883</v>
      </c>
      <c r="Z373" s="91" t="s">
        <v>883</v>
      </c>
    </row>
    <row r="374" spans="1:26" ht="43" customHeight="1" x14ac:dyDescent="0.35">
      <c r="A374" s="150" t="s">
        <v>1064</v>
      </c>
      <c r="B374" s="91" t="s">
        <v>1003</v>
      </c>
      <c r="C374" s="91" t="s">
        <v>1306</v>
      </c>
      <c r="D374" s="151">
        <v>86131502</v>
      </c>
      <c r="E374" s="91" t="s">
        <v>1076</v>
      </c>
      <c r="F374" s="91" t="s">
        <v>1307</v>
      </c>
      <c r="G374" s="83" t="s">
        <v>44</v>
      </c>
      <c r="H374" s="83" t="s">
        <v>45</v>
      </c>
      <c r="I374" s="100">
        <v>1</v>
      </c>
      <c r="J374" s="100" t="s">
        <v>350</v>
      </c>
      <c r="K374" s="159">
        <v>3094000</v>
      </c>
      <c r="L374" s="129">
        <v>0.19</v>
      </c>
      <c r="M374" s="128">
        <f t="shared" si="47"/>
        <v>587860</v>
      </c>
      <c r="N374" s="128">
        <f t="shared" si="48"/>
        <v>3681860</v>
      </c>
      <c r="O374" s="91" t="s">
        <v>343</v>
      </c>
      <c r="P374" s="91" t="s">
        <v>344</v>
      </c>
      <c r="Q374" s="128">
        <f t="shared" si="46"/>
        <v>3681860</v>
      </c>
      <c r="R374" s="128"/>
      <c r="S374" s="128"/>
      <c r="T374" s="128"/>
      <c r="U374" s="91" t="s">
        <v>1308</v>
      </c>
      <c r="V374" s="91" t="s">
        <v>1309</v>
      </c>
      <c r="W374" s="138">
        <f t="shared" si="49"/>
        <v>3094000</v>
      </c>
      <c r="X374" s="91" t="s">
        <v>983</v>
      </c>
      <c r="Y374" s="91" t="s">
        <v>983</v>
      </c>
      <c r="Z374" s="91" t="s">
        <v>1110</v>
      </c>
    </row>
    <row r="375" spans="1:26" ht="43" customHeight="1" x14ac:dyDescent="0.35">
      <c r="A375" s="150" t="s">
        <v>1064</v>
      </c>
      <c r="B375" s="91" t="s">
        <v>1003</v>
      </c>
      <c r="C375" s="91" t="s">
        <v>1306</v>
      </c>
      <c r="D375" s="151">
        <v>80141902</v>
      </c>
      <c r="E375" s="91" t="s">
        <v>1066</v>
      </c>
      <c r="F375" s="91" t="s">
        <v>1277</v>
      </c>
      <c r="G375" s="83" t="s">
        <v>47</v>
      </c>
      <c r="H375" s="83" t="s">
        <v>47</v>
      </c>
      <c r="I375" s="100">
        <v>1</v>
      </c>
      <c r="J375" s="100" t="s">
        <v>1068</v>
      </c>
      <c r="K375" s="138">
        <v>1200000</v>
      </c>
      <c r="L375" s="129">
        <v>0.19</v>
      </c>
      <c r="M375" s="128">
        <f t="shared" si="47"/>
        <v>228000</v>
      </c>
      <c r="N375" s="128">
        <f t="shared" si="48"/>
        <v>1428000</v>
      </c>
      <c r="O375" s="91" t="s">
        <v>343</v>
      </c>
      <c r="P375" s="91" t="s">
        <v>344</v>
      </c>
      <c r="Q375" s="128">
        <f t="shared" si="46"/>
        <v>1428000</v>
      </c>
      <c r="R375" s="128"/>
      <c r="S375" s="128"/>
      <c r="T375" s="128"/>
      <c r="U375" s="91" t="s">
        <v>1308</v>
      </c>
      <c r="V375" s="91" t="s">
        <v>1310</v>
      </c>
      <c r="W375" s="138">
        <f t="shared" si="49"/>
        <v>1200000</v>
      </c>
      <c r="X375" s="104" t="s">
        <v>811</v>
      </c>
      <c r="Y375" s="104" t="s">
        <v>811</v>
      </c>
      <c r="Z375" s="104" t="s">
        <v>825</v>
      </c>
    </row>
    <row r="376" spans="1:26" ht="43" customHeight="1" x14ac:dyDescent="0.35">
      <c r="A376" s="150" t="s">
        <v>1064</v>
      </c>
      <c r="B376" s="91" t="s">
        <v>1003</v>
      </c>
      <c r="C376" s="91" t="s">
        <v>1306</v>
      </c>
      <c r="D376" s="151">
        <v>80141902</v>
      </c>
      <c r="E376" s="91" t="s">
        <v>1066</v>
      </c>
      <c r="F376" s="91" t="s">
        <v>1311</v>
      </c>
      <c r="G376" s="83" t="s">
        <v>52</v>
      </c>
      <c r="H376" s="83" t="s">
        <v>53</v>
      </c>
      <c r="I376" s="100">
        <v>1</v>
      </c>
      <c r="J376" s="100" t="s">
        <v>1068</v>
      </c>
      <c r="K376" s="138">
        <v>1200000</v>
      </c>
      <c r="L376" s="129">
        <v>0.19</v>
      </c>
      <c r="M376" s="128">
        <f t="shared" si="47"/>
        <v>228000</v>
      </c>
      <c r="N376" s="128">
        <f t="shared" si="48"/>
        <v>1428000</v>
      </c>
      <c r="O376" s="91" t="s">
        <v>343</v>
      </c>
      <c r="P376" s="91" t="s">
        <v>344</v>
      </c>
      <c r="Q376" s="128">
        <f t="shared" si="46"/>
        <v>1428000</v>
      </c>
      <c r="R376" s="128"/>
      <c r="S376" s="128"/>
      <c r="T376" s="128"/>
      <c r="U376" s="91" t="s">
        <v>1308</v>
      </c>
      <c r="V376" s="91" t="s">
        <v>1312</v>
      </c>
      <c r="W376" s="138">
        <f t="shared" si="49"/>
        <v>1200000</v>
      </c>
      <c r="X376" s="104" t="s">
        <v>811</v>
      </c>
      <c r="Y376" s="104" t="s">
        <v>811</v>
      </c>
      <c r="Z376" s="104" t="s">
        <v>825</v>
      </c>
    </row>
    <row r="377" spans="1:26" ht="43" customHeight="1" x14ac:dyDescent="0.35">
      <c r="A377" s="150" t="s">
        <v>1064</v>
      </c>
      <c r="B377" s="91" t="s">
        <v>1003</v>
      </c>
      <c r="C377" s="91" t="s">
        <v>1306</v>
      </c>
      <c r="D377" s="151">
        <v>73152108</v>
      </c>
      <c r="E377" s="91" t="s">
        <v>1153</v>
      </c>
      <c r="F377" s="91" t="s">
        <v>1313</v>
      </c>
      <c r="G377" s="83" t="s">
        <v>46</v>
      </c>
      <c r="H377" s="83" t="s">
        <v>53</v>
      </c>
      <c r="I377" s="100">
        <v>7</v>
      </c>
      <c r="J377" s="100" t="s">
        <v>350</v>
      </c>
      <c r="K377" s="138">
        <v>1650000</v>
      </c>
      <c r="L377" s="129">
        <v>0.19</v>
      </c>
      <c r="M377" s="128">
        <f t="shared" si="47"/>
        <v>313500</v>
      </c>
      <c r="N377" s="128">
        <f t="shared" si="48"/>
        <v>1963500</v>
      </c>
      <c r="O377" s="91" t="s">
        <v>343</v>
      </c>
      <c r="P377" s="91" t="s">
        <v>344</v>
      </c>
      <c r="Q377" s="128">
        <f t="shared" si="46"/>
        <v>1963500</v>
      </c>
      <c r="R377" s="128"/>
      <c r="S377" s="128"/>
      <c r="T377" s="128"/>
      <c r="U377" s="91" t="s">
        <v>1314</v>
      </c>
      <c r="V377" s="91" t="s">
        <v>1315</v>
      </c>
      <c r="W377" s="138">
        <f t="shared" si="49"/>
        <v>1650000</v>
      </c>
      <c r="X377" s="91" t="s">
        <v>882</v>
      </c>
      <c r="Y377" s="91" t="s">
        <v>883</v>
      </c>
      <c r="Z377" s="91" t="s">
        <v>1155</v>
      </c>
    </row>
    <row r="378" spans="1:26" ht="43" customHeight="1" x14ac:dyDescent="0.35">
      <c r="A378" s="150" t="s">
        <v>1064</v>
      </c>
      <c r="B378" s="91" t="s">
        <v>1003</v>
      </c>
      <c r="C378" s="91" t="s">
        <v>1306</v>
      </c>
      <c r="D378" s="151">
        <v>72101511</v>
      </c>
      <c r="E378" s="91" t="s">
        <v>886</v>
      </c>
      <c r="F378" s="91" t="s">
        <v>1230</v>
      </c>
      <c r="G378" s="83" t="s">
        <v>42</v>
      </c>
      <c r="H378" s="83" t="s">
        <v>52</v>
      </c>
      <c r="I378" s="100">
        <v>12</v>
      </c>
      <c r="J378" s="100" t="s">
        <v>350</v>
      </c>
      <c r="K378" s="128">
        <v>2600000</v>
      </c>
      <c r="L378" s="129">
        <v>0.19</v>
      </c>
      <c r="M378" s="128">
        <f t="shared" si="47"/>
        <v>494000</v>
      </c>
      <c r="N378" s="128">
        <f t="shared" si="48"/>
        <v>3094000</v>
      </c>
      <c r="O378" s="91" t="s">
        <v>343</v>
      </c>
      <c r="P378" s="91" t="s">
        <v>344</v>
      </c>
      <c r="Q378" s="128">
        <f t="shared" si="46"/>
        <v>3094000</v>
      </c>
      <c r="R378" s="128"/>
      <c r="S378" s="128"/>
      <c r="T378" s="128"/>
      <c r="U378" s="91" t="s">
        <v>1308</v>
      </c>
      <c r="V378" s="91"/>
      <c r="W378" s="138">
        <f t="shared" si="49"/>
        <v>2600000</v>
      </c>
      <c r="X378" s="91" t="s">
        <v>882</v>
      </c>
      <c r="Y378" s="91" t="s">
        <v>883</v>
      </c>
      <c r="Z378" s="91" t="s">
        <v>889</v>
      </c>
    </row>
    <row r="379" spans="1:26" ht="43" customHeight="1" x14ac:dyDescent="0.35">
      <c r="A379" s="150" t="s">
        <v>1064</v>
      </c>
      <c r="B379" s="91" t="s">
        <v>1003</v>
      </c>
      <c r="C379" s="91" t="s">
        <v>1306</v>
      </c>
      <c r="D379" s="151">
        <v>48101909</v>
      </c>
      <c r="E379" s="91" t="s">
        <v>1097</v>
      </c>
      <c r="F379" s="91" t="s">
        <v>1316</v>
      </c>
      <c r="G379" s="83" t="s">
        <v>43</v>
      </c>
      <c r="H379" s="83" t="s">
        <v>44</v>
      </c>
      <c r="I379" s="100">
        <v>1</v>
      </c>
      <c r="J379" s="100" t="s">
        <v>1068</v>
      </c>
      <c r="K379" s="138">
        <v>600000</v>
      </c>
      <c r="L379" s="129">
        <v>0.19</v>
      </c>
      <c r="M379" s="128">
        <f t="shared" si="47"/>
        <v>114000</v>
      </c>
      <c r="N379" s="128">
        <f t="shared" si="48"/>
        <v>714000</v>
      </c>
      <c r="O379" s="91" t="s">
        <v>343</v>
      </c>
      <c r="P379" s="91" t="s">
        <v>344</v>
      </c>
      <c r="Q379" s="128">
        <f t="shared" si="46"/>
        <v>714000</v>
      </c>
      <c r="R379" s="128"/>
      <c r="S379" s="128"/>
      <c r="T379" s="128"/>
      <c r="U379" s="91" t="s">
        <v>1308</v>
      </c>
      <c r="V379" s="91" t="s">
        <v>1317</v>
      </c>
      <c r="W379" s="138">
        <f t="shared" si="49"/>
        <v>600000</v>
      </c>
      <c r="X379" s="91" t="s">
        <v>861</v>
      </c>
      <c r="Y379" s="91" t="s">
        <v>861</v>
      </c>
      <c r="Z379" s="91" t="s">
        <v>861</v>
      </c>
    </row>
    <row r="380" spans="1:26" ht="43" customHeight="1" x14ac:dyDescent="0.35">
      <c r="A380" s="150" t="s">
        <v>1064</v>
      </c>
      <c r="B380" s="91" t="s">
        <v>1003</v>
      </c>
      <c r="C380" s="91" t="s">
        <v>1306</v>
      </c>
      <c r="D380" s="151">
        <v>90101600</v>
      </c>
      <c r="E380" s="91" t="s">
        <v>1082</v>
      </c>
      <c r="F380" s="91" t="s">
        <v>1083</v>
      </c>
      <c r="G380" s="83" t="s">
        <v>45</v>
      </c>
      <c r="H380" s="83" t="s">
        <v>45</v>
      </c>
      <c r="I380" s="100">
        <v>1</v>
      </c>
      <c r="J380" s="100" t="s">
        <v>350</v>
      </c>
      <c r="K380" s="128">
        <v>2000000</v>
      </c>
      <c r="L380" s="154">
        <v>0.19</v>
      </c>
      <c r="M380" s="128">
        <f>K380*L380</f>
        <v>380000</v>
      </c>
      <c r="N380" s="128">
        <f>M380+K380</f>
        <v>2380000</v>
      </c>
      <c r="O380" s="91" t="s">
        <v>343</v>
      </c>
      <c r="P380" s="91" t="s">
        <v>344</v>
      </c>
      <c r="Q380" s="128">
        <f t="shared" si="46"/>
        <v>2380000</v>
      </c>
      <c r="R380" s="128"/>
      <c r="S380" s="128"/>
      <c r="T380" s="128"/>
      <c r="U380" s="91" t="s">
        <v>1308</v>
      </c>
      <c r="V380" s="91"/>
      <c r="W380" s="98">
        <f>K380</f>
        <v>2000000</v>
      </c>
      <c r="X380" s="91" t="s">
        <v>657</v>
      </c>
      <c r="Y380" s="91" t="s">
        <v>658</v>
      </c>
      <c r="Z380" s="91" t="s">
        <v>659</v>
      </c>
    </row>
    <row r="381" spans="1:26" ht="43" customHeight="1" x14ac:dyDescent="0.35">
      <c r="A381" s="150" t="s">
        <v>1064</v>
      </c>
      <c r="B381" s="91" t="s">
        <v>1003</v>
      </c>
      <c r="C381" s="91" t="s">
        <v>1306</v>
      </c>
      <c r="D381" s="151">
        <v>80141902</v>
      </c>
      <c r="E381" s="91" t="s">
        <v>1066</v>
      </c>
      <c r="F381" s="91" t="s">
        <v>1084</v>
      </c>
      <c r="G381" s="100" t="s">
        <v>53</v>
      </c>
      <c r="H381" s="83" t="s">
        <v>53</v>
      </c>
      <c r="I381" s="100">
        <v>1</v>
      </c>
      <c r="J381" s="100" t="s">
        <v>350</v>
      </c>
      <c r="K381" s="128">
        <v>2000000</v>
      </c>
      <c r="L381" s="154">
        <v>0.19</v>
      </c>
      <c r="M381" s="128">
        <f>K381*L381</f>
        <v>380000</v>
      </c>
      <c r="N381" s="128">
        <f>M381+K381</f>
        <v>2380000</v>
      </c>
      <c r="O381" s="91" t="s">
        <v>343</v>
      </c>
      <c r="P381" s="91" t="s">
        <v>344</v>
      </c>
      <c r="Q381" s="128">
        <f t="shared" si="46"/>
        <v>2380000</v>
      </c>
      <c r="R381" s="128"/>
      <c r="S381" s="128"/>
      <c r="T381" s="128"/>
      <c r="U381" s="91" t="s">
        <v>1308</v>
      </c>
      <c r="V381" s="91"/>
      <c r="W381" s="98">
        <f>K381</f>
        <v>2000000</v>
      </c>
      <c r="X381" s="91" t="s">
        <v>657</v>
      </c>
      <c r="Y381" s="91" t="s">
        <v>658</v>
      </c>
      <c r="Z381" s="91" t="s">
        <v>659</v>
      </c>
    </row>
    <row r="382" spans="1:26" ht="43" customHeight="1" x14ac:dyDescent="0.35">
      <c r="A382" s="150" t="s">
        <v>1064</v>
      </c>
      <c r="B382" s="91" t="s">
        <v>1003</v>
      </c>
      <c r="C382" s="91" t="s">
        <v>1318</v>
      </c>
      <c r="D382" s="151">
        <v>80141902</v>
      </c>
      <c r="E382" s="91" t="s">
        <v>1066</v>
      </c>
      <c r="F382" s="91" t="s">
        <v>1319</v>
      </c>
      <c r="G382" s="83" t="s">
        <v>52</v>
      </c>
      <c r="H382" s="83" t="s">
        <v>53</v>
      </c>
      <c r="I382" s="100">
        <v>1</v>
      </c>
      <c r="J382" s="100" t="s">
        <v>1068</v>
      </c>
      <c r="K382" s="128">
        <v>750000</v>
      </c>
      <c r="L382" s="129">
        <v>0.08</v>
      </c>
      <c r="M382" s="128">
        <f>+K382*L382</f>
        <v>60000</v>
      </c>
      <c r="N382" s="128">
        <f>+K382+M382</f>
        <v>810000</v>
      </c>
      <c r="O382" s="91" t="s">
        <v>343</v>
      </c>
      <c r="P382" s="91" t="s">
        <v>344</v>
      </c>
      <c r="Q382" s="128">
        <f t="shared" si="46"/>
        <v>810000</v>
      </c>
      <c r="R382" s="128"/>
      <c r="S382" s="128"/>
      <c r="T382" s="128"/>
      <c r="U382" s="91" t="s">
        <v>1320</v>
      </c>
      <c r="V382" s="91" t="s">
        <v>1297</v>
      </c>
      <c r="W382" s="138">
        <f>+Q382/1.08</f>
        <v>750000</v>
      </c>
      <c r="X382" s="104" t="s">
        <v>811</v>
      </c>
      <c r="Y382" s="104" t="s">
        <v>811</v>
      </c>
      <c r="Z382" s="104" t="s">
        <v>825</v>
      </c>
    </row>
    <row r="383" spans="1:26" ht="43" customHeight="1" x14ac:dyDescent="0.35">
      <c r="A383" s="150" t="s">
        <v>1064</v>
      </c>
      <c r="B383" s="91" t="s">
        <v>1003</v>
      </c>
      <c r="C383" s="91" t="s">
        <v>1318</v>
      </c>
      <c r="D383" s="155">
        <v>72101511</v>
      </c>
      <c r="E383" s="91" t="s">
        <v>886</v>
      </c>
      <c r="F383" s="91" t="s">
        <v>1298</v>
      </c>
      <c r="G383" s="83" t="s">
        <v>42</v>
      </c>
      <c r="H383" s="83" t="s">
        <v>42</v>
      </c>
      <c r="I383" s="100">
        <v>12</v>
      </c>
      <c r="J383" s="100" t="s">
        <v>350</v>
      </c>
      <c r="K383" s="128">
        <v>2800000</v>
      </c>
      <c r="L383" s="129">
        <v>0.19</v>
      </c>
      <c r="M383" s="128">
        <f>+K383*L383</f>
        <v>532000</v>
      </c>
      <c r="N383" s="128">
        <f>+K383+M383</f>
        <v>3332000</v>
      </c>
      <c r="O383" s="91" t="s">
        <v>358</v>
      </c>
      <c r="P383" s="91" t="s">
        <v>359</v>
      </c>
      <c r="Q383" s="128">
        <f t="shared" si="46"/>
        <v>3332000</v>
      </c>
      <c r="R383" s="128"/>
      <c r="S383" s="128"/>
      <c r="T383" s="128"/>
      <c r="U383" s="91" t="s">
        <v>1320</v>
      </c>
      <c r="V383" s="91" t="s">
        <v>1299</v>
      </c>
      <c r="W383" s="138">
        <f>+Q383/1.19</f>
        <v>2800000</v>
      </c>
      <c r="X383" s="91" t="s">
        <v>882</v>
      </c>
      <c r="Y383" s="91" t="s">
        <v>883</v>
      </c>
      <c r="Z383" s="91" t="s">
        <v>889</v>
      </c>
    </row>
    <row r="384" spans="1:26" ht="43" customHeight="1" x14ac:dyDescent="0.35">
      <c r="A384" s="150" t="s">
        <v>1064</v>
      </c>
      <c r="B384" s="91" t="s">
        <v>1003</v>
      </c>
      <c r="C384" s="91" t="s">
        <v>1318</v>
      </c>
      <c r="D384" s="151">
        <v>90101600</v>
      </c>
      <c r="E384" s="91" t="s">
        <v>1082</v>
      </c>
      <c r="F384" s="91" t="s">
        <v>1083</v>
      </c>
      <c r="G384" s="83" t="s">
        <v>45</v>
      </c>
      <c r="H384" s="83" t="s">
        <v>45</v>
      </c>
      <c r="I384" s="100">
        <v>1</v>
      </c>
      <c r="J384" s="100" t="s">
        <v>350</v>
      </c>
      <c r="K384" s="128">
        <v>2185600</v>
      </c>
      <c r="L384" s="154">
        <v>0.19</v>
      </c>
      <c r="M384" s="128">
        <f>K384*L384</f>
        <v>415264</v>
      </c>
      <c r="N384" s="128">
        <f>M384+K384</f>
        <v>2600864</v>
      </c>
      <c r="O384" s="91" t="s">
        <v>343</v>
      </c>
      <c r="P384" s="91" t="s">
        <v>344</v>
      </c>
      <c r="Q384" s="128">
        <f t="shared" si="46"/>
        <v>2600864</v>
      </c>
      <c r="R384" s="128"/>
      <c r="S384" s="128"/>
      <c r="T384" s="128"/>
      <c r="U384" s="91" t="s">
        <v>1320</v>
      </c>
      <c r="V384" s="91"/>
      <c r="W384" s="98">
        <f>K384</f>
        <v>2185600</v>
      </c>
      <c r="X384" s="91" t="s">
        <v>657</v>
      </c>
      <c r="Y384" s="91" t="s">
        <v>658</v>
      </c>
      <c r="Z384" s="91" t="s">
        <v>659</v>
      </c>
    </row>
    <row r="385" spans="1:26" ht="43" customHeight="1" x14ac:dyDescent="0.35">
      <c r="A385" s="150" t="s">
        <v>1064</v>
      </c>
      <c r="B385" s="91" t="s">
        <v>1003</v>
      </c>
      <c r="C385" s="91" t="s">
        <v>1318</v>
      </c>
      <c r="D385" s="151">
        <v>80141902</v>
      </c>
      <c r="E385" s="91" t="s">
        <v>1066</v>
      </c>
      <c r="F385" s="91" t="s">
        <v>1084</v>
      </c>
      <c r="G385" s="100" t="s">
        <v>53</v>
      </c>
      <c r="H385" s="83" t="s">
        <v>53</v>
      </c>
      <c r="I385" s="100">
        <v>1</v>
      </c>
      <c r="J385" s="100" t="s">
        <v>350</v>
      </c>
      <c r="K385" s="128">
        <v>2185600</v>
      </c>
      <c r="L385" s="154">
        <v>0.19</v>
      </c>
      <c r="M385" s="128">
        <f>K385*L385</f>
        <v>415264</v>
      </c>
      <c r="N385" s="128">
        <f>M385+K385</f>
        <v>2600864</v>
      </c>
      <c r="O385" s="91" t="s">
        <v>343</v>
      </c>
      <c r="P385" s="91" t="s">
        <v>344</v>
      </c>
      <c r="Q385" s="128">
        <f t="shared" si="46"/>
        <v>2600864</v>
      </c>
      <c r="R385" s="128"/>
      <c r="S385" s="128"/>
      <c r="T385" s="128"/>
      <c r="U385" s="91" t="s">
        <v>1320</v>
      </c>
      <c r="V385" s="91"/>
      <c r="W385" s="98">
        <f>K385</f>
        <v>2185600</v>
      </c>
      <c r="X385" s="91" t="s">
        <v>657</v>
      </c>
      <c r="Y385" s="91" t="s">
        <v>658</v>
      </c>
      <c r="Z385" s="91" t="s">
        <v>659</v>
      </c>
    </row>
    <row r="386" spans="1:26" ht="43" customHeight="1" x14ac:dyDescent="0.35">
      <c r="A386" s="150" t="s">
        <v>1064</v>
      </c>
      <c r="B386" s="91" t="s">
        <v>1003</v>
      </c>
      <c r="C386" s="91" t="s">
        <v>1321</v>
      </c>
      <c r="D386" s="155">
        <v>72154028</v>
      </c>
      <c r="E386" s="91" t="s">
        <v>1113</v>
      </c>
      <c r="F386" s="91" t="s">
        <v>1322</v>
      </c>
      <c r="G386" s="83" t="s">
        <v>45</v>
      </c>
      <c r="H386" s="83" t="s">
        <v>46</v>
      </c>
      <c r="I386" s="100">
        <v>1</v>
      </c>
      <c r="J386" s="100" t="s">
        <v>350</v>
      </c>
      <c r="K386" s="138">
        <v>3000000</v>
      </c>
      <c r="L386" s="154">
        <v>0.19</v>
      </c>
      <c r="M386" s="128">
        <f t="shared" ref="M386:M396" si="50">+K386*L386</f>
        <v>570000</v>
      </c>
      <c r="N386" s="128">
        <f t="shared" ref="N386:N396" si="51">+K386+M386</f>
        <v>3570000</v>
      </c>
      <c r="O386" s="91" t="s">
        <v>343</v>
      </c>
      <c r="P386" s="91" t="s">
        <v>344</v>
      </c>
      <c r="Q386" s="128">
        <f t="shared" si="46"/>
        <v>3570000</v>
      </c>
      <c r="R386" s="138"/>
      <c r="S386" s="138"/>
      <c r="T386" s="138"/>
      <c r="U386" s="91" t="s">
        <v>1323</v>
      </c>
      <c r="V386" s="91"/>
      <c r="W386" s="138">
        <f t="shared" ref="W386:W393" si="52">+Q386/1.19</f>
        <v>3000000</v>
      </c>
      <c r="X386" s="91" t="s">
        <v>882</v>
      </c>
      <c r="Y386" s="91" t="s">
        <v>883</v>
      </c>
      <c r="Z386" s="91" t="s">
        <v>883</v>
      </c>
    </row>
    <row r="387" spans="1:26" ht="43" customHeight="1" x14ac:dyDescent="0.35">
      <c r="A387" s="150" t="s">
        <v>1064</v>
      </c>
      <c r="B387" s="91" t="s">
        <v>1003</v>
      </c>
      <c r="C387" s="91" t="s">
        <v>1321</v>
      </c>
      <c r="D387" s="155">
        <v>80141902</v>
      </c>
      <c r="E387" s="91" t="s">
        <v>1066</v>
      </c>
      <c r="F387" s="91" t="s">
        <v>1324</v>
      </c>
      <c r="G387" s="83" t="s">
        <v>51</v>
      </c>
      <c r="H387" s="83" t="s">
        <v>53</v>
      </c>
      <c r="I387" s="100">
        <v>1</v>
      </c>
      <c r="J387" s="100" t="s">
        <v>1068</v>
      </c>
      <c r="K387" s="138">
        <v>1000000</v>
      </c>
      <c r="L387" s="154">
        <v>0.19</v>
      </c>
      <c r="M387" s="128">
        <f t="shared" si="50"/>
        <v>190000</v>
      </c>
      <c r="N387" s="128">
        <f t="shared" si="51"/>
        <v>1190000</v>
      </c>
      <c r="O387" s="91" t="s">
        <v>343</v>
      </c>
      <c r="P387" s="91" t="s">
        <v>344</v>
      </c>
      <c r="Q387" s="128">
        <f t="shared" si="46"/>
        <v>1190000</v>
      </c>
      <c r="R387" s="138"/>
      <c r="S387" s="138"/>
      <c r="T387" s="138"/>
      <c r="U387" s="91" t="s">
        <v>1323</v>
      </c>
      <c r="V387" s="91"/>
      <c r="W387" s="138">
        <f t="shared" si="52"/>
        <v>1000000</v>
      </c>
      <c r="X387" s="104" t="s">
        <v>811</v>
      </c>
      <c r="Y387" s="104" t="s">
        <v>811</v>
      </c>
      <c r="Z387" s="104" t="s">
        <v>825</v>
      </c>
    </row>
    <row r="388" spans="1:26" ht="43" customHeight="1" x14ac:dyDescent="0.35">
      <c r="A388" s="150" t="s">
        <v>1064</v>
      </c>
      <c r="B388" s="91" t="s">
        <v>1003</v>
      </c>
      <c r="C388" s="91" t="s">
        <v>1321</v>
      </c>
      <c r="D388" s="155">
        <v>72101511</v>
      </c>
      <c r="E388" s="91" t="s">
        <v>886</v>
      </c>
      <c r="F388" s="91" t="s">
        <v>1325</v>
      </c>
      <c r="G388" s="83" t="s">
        <v>43</v>
      </c>
      <c r="H388" s="83" t="s">
        <v>44</v>
      </c>
      <c r="I388" s="100">
        <v>12</v>
      </c>
      <c r="J388" s="100" t="s">
        <v>350</v>
      </c>
      <c r="K388" s="138">
        <v>4100000</v>
      </c>
      <c r="L388" s="154">
        <v>0.19</v>
      </c>
      <c r="M388" s="128">
        <f t="shared" si="50"/>
        <v>779000</v>
      </c>
      <c r="N388" s="128">
        <f t="shared" si="51"/>
        <v>4879000</v>
      </c>
      <c r="O388" s="91" t="s">
        <v>343</v>
      </c>
      <c r="P388" s="91" t="s">
        <v>344</v>
      </c>
      <c r="Q388" s="128">
        <f t="shared" si="46"/>
        <v>4879000</v>
      </c>
      <c r="R388" s="138"/>
      <c r="S388" s="138"/>
      <c r="T388" s="138"/>
      <c r="U388" s="91" t="s">
        <v>1323</v>
      </c>
      <c r="V388" s="91"/>
      <c r="W388" s="138">
        <f t="shared" si="52"/>
        <v>4100000</v>
      </c>
      <c r="X388" s="91" t="s">
        <v>882</v>
      </c>
      <c r="Y388" s="91" t="s">
        <v>883</v>
      </c>
      <c r="Z388" s="91" t="s">
        <v>889</v>
      </c>
    </row>
    <row r="389" spans="1:26" ht="43" customHeight="1" x14ac:dyDescent="0.35">
      <c r="A389" s="150" t="s">
        <v>1064</v>
      </c>
      <c r="B389" s="91" t="s">
        <v>1003</v>
      </c>
      <c r="C389" s="91" t="s">
        <v>1326</v>
      </c>
      <c r="D389" s="151">
        <v>52161505</v>
      </c>
      <c r="E389" s="91" t="s">
        <v>1141</v>
      </c>
      <c r="F389" s="91" t="s">
        <v>1327</v>
      </c>
      <c r="G389" s="83" t="s">
        <v>43</v>
      </c>
      <c r="H389" s="83" t="s">
        <v>44</v>
      </c>
      <c r="I389" s="100">
        <v>2</v>
      </c>
      <c r="J389" s="100" t="s">
        <v>350</v>
      </c>
      <c r="K389" s="128">
        <v>2800000</v>
      </c>
      <c r="L389" s="129">
        <v>0.19</v>
      </c>
      <c r="M389" s="128">
        <f t="shared" si="50"/>
        <v>532000</v>
      </c>
      <c r="N389" s="128">
        <f t="shared" si="51"/>
        <v>3332000</v>
      </c>
      <c r="O389" s="91" t="s">
        <v>343</v>
      </c>
      <c r="P389" s="91" t="s">
        <v>344</v>
      </c>
      <c r="Q389" s="128">
        <f t="shared" si="46"/>
        <v>3332000</v>
      </c>
      <c r="R389" s="128"/>
      <c r="S389" s="128"/>
      <c r="T389" s="128"/>
      <c r="U389" s="91" t="s">
        <v>1328</v>
      </c>
      <c r="V389" s="91" t="s">
        <v>1102</v>
      </c>
      <c r="W389" s="138">
        <f t="shared" si="52"/>
        <v>2800000</v>
      </c>
      <c r="X389" s="91" t="s">
        <v>1103</v>
      </c>
      <c r="Y389" s="91" t="s">
        <v>963</v>
      </c>
      <c r="Z389" s="91" t="s">
        <v>1104</v>
      </c>
    </row>
    <row r="390" spans="1:26" ht="43" customHeight="1" x14ac:dyDescent="0.35">
      <c r="A390" s="150" t="s">
        <v>1064</v>
      </c>
      <c r="B390" s="91" t="s">
        <v>1003</v>
      </c>
      <c r="C390" s="91" t="s">
        <v>1326</v>
      </c>
      <c r="D390" s="151">
        <v>80141902</v>
      </c>
      <c r="E390" s="91" t="s">
        <v>1066</v>
      </c>
      <c r="F390" s="91" t="s">
        <v>1203</v>
      </c>
      <c r="G390" s="83" t="s">
        <v>47</v>
      </c>
      <c r="H390" s="83" t="s">
        <v>48</v>
      </c>
      <c r="I390" s="100">
        <v>1</v>
      </c>
      <c r="J390" s="100" t="s">
        <v>350</v>
      </c>
      <c r="K390" s="128">
        <v>2000000</v>
      </c>
      <c r="L390" s="129">
        <v>0.19</v>
      </c>
      <c r="M390" s="128">
        <f t="shared" si="50"/>
        <v>380000</v>
      </c>
      <c r="N390" s="128">
        <f t="shared" si="51"/>
        <v>2380000</v>
      </c>
      <c r="O390" s="91" t="s">
        <v>343</v>
      </c>
      <c r="P390" s="91" t="s">
        <v>344</v>
      </c>
      <c r="Q390" s="128">
        <f t="shared" si="46"/>
        <v>2380000</v>
      </c>
      <c r="R390" s="128"/>
      <c r="S390" s="128"/>
      <c r="T390" s="128"/>
      <c r="U390" s="91" t="s">
        <v>1328</v>
      </c>
      <c r="V390" s="91" t="s">
        <v>1204</v>
      </c>
      <c r="W390" s="138">
        <f t="shared" si="52"/>
        <v>2000000</v>
      </c>
      <c r="X390" s="104" t="s">
        <v>811</v>
      </c>
      <c r="Y390" s="104" t="s">
        <v>811</v>
      </c>
      <c r="Z390" s="104" t="s">
        <v>825</v>
      </c>
    </row>
    <row r="391" spans="1:26" ht="43" customHeight="1" x14ac:dyDescent="0.35">
      <c r="A391" s="150" t="s">
        <v>1064</v>
      </c>
      <c r="B391" s="91" t="s">
        <v>1003</v>
      </c>
      <c r="C391" s="91" t="s">
        <v>1326</v>
      </c>
      <c r="D391" s="151">
        <v>80141902</v>
      </c>
      <c r="E391" s="152" t="s">
        <v>1066</v>
      </c>
      <c r="F391" s="91" t="s">
        <v>1329</v>
      </c>
      <c r="G391" s="83" t="s">
        <v>52</v>
      </c>
      <c r="H391" s="83" t="s">
        <v>53</v>
      </c>
      <c r="I391" s="100">
        <v>1</v>
      </c>
      <c r="J391" s="100" t="s">
        <v>350</v>
      </c>
      <c r="K391" s="138">
        <v>2000000</v>
      </c>
      <c r="L391" s="129">
        <v>0.19</v>
      </c>
      <c r="M391" s="128">
        <f t="shared" si="50"/>
        <v>380000</v>
      </c>
      <c r="N391" s="128">
        <f t="shared" si="51"/>
        <v>2380000</v>
      </c>
      <c r="O391" s="91" t="s">
        <v>343</v>
      </c>
      <c r="P391" s="91" t="s">
        <v>344</v>
      </c>
      <c r="Q391" s="128">
        <f t="shared" si="46"/>
        <v>2380000</v>
      </c>
      <c r="R391" s="128"/>
      <c r="S391" s="128"/>
      <c r="T391" s="128"/>
      <c r="U391" s="91" t="s">
        <v>1328</v>
      </c>
      <c r="V391" s="91"/>
      <c r="W391" s="138">
        <f t="shared" si="52"/>
        <v>2000000</v>
      </c>
      <c r="X391" s="104" t="s">
        <v>811</v>
      </c>
      <c r="Y391" s="104" t="s">
        <v>811</v>
      </c>
      <c r="Z391" s="104" t="s">
        <v>825</v>
      </c>
    </row>
    <row r="392" spans="1:26" ht="43" customHeight="1" x14ac:dyDescent="0.35">
      <c r="A392" s="150" t="s">
        <v>1064</v>
      </c>
      <c r="B392" s="91" t="s">
        <v>1003</v>
      </c>
      <c r="C392" s="91" t="s">
        <v>1326</v>
      </c>
      <c r="D392" s="155">
        <v>72101511</v>
      </c>
      <c r="E392" s="91" t="s">
        <v>886</v>
      </c>
      <c r="F392" s="91" t="s">
        <v>1330</v>
      </c>
      <c r="G392" s="83" t="s">
        <v>44</v>
      </c>
      <c r="H392" s="83" t="s">
        <v>45</v>
      </c>
      <c r="I392" s="100">
        <v>9</v>
      </c>
      <c r="J392" s="100" t="s">
        <v>350</v>
      </c>
      <c r="K392" s="128">
        <v>1823250</v>
      </c>
      <c r="L392" s="129">
        <v>0.19</v>
      </c>
      <c r="M392" s="128">
        <f t="shared" si="50"/>
        <v>346417.5</v>
      </c>
      <c r="N392" s="128">
        <f t="shared" si="51"/>
        <v>2169667.5</v>
      </c>
      <c r="O392" s="91" t="s">
        <v>343</v>
      </c>
      <c r="P392" s="91" t="s">
        <v>344</v>
      </c>
      <c r="Q392" s="128">
        <f t="shared" si="46"/>
        <v>2169667.5</v>
      </c>
      <c r="R392" s="128"/>
      <c r="S392" s="128"/>
      <c r="T392" s="128"/>
      <c r="U392" s="91" t="s">
        <v>1328</v>
      </c>
      <c r="V392" s="91"/>
      <c r="W392" s="138">
        <f t="shared" si="52"/>
        <v>1823250</v>
      </c>
      <c r="X392" s="91" t="s">
        <v>882</v>
      </c>
      <c r="Y392" s="91" t="s">
        <v>883</v>
      </c>
      <c r="Z392" s="91" t="s">
        <v>889</v>
      </c>
    </row>
    <row r="393" spans="1:26" ht="43" customHeight="1" x14ac:dyDescent="0.35">
      <c r="A393" s="150" t="s">
        <v>1064</v>
      </c>
      <c r="B393" s="91" t="s">
        <v>1003</v>
      </c>
      <c r="C393" s="91" t="s">
        <v>1326</v>
      </c>
      <c r="D393" s="158" t="s">
        <v>1331</v>
      </c>
      <c r="E393" s="91" t="s">
        <v>1332</v>
      </c>
      <c r="F393" s="91" t="s">
        <v>1333</v>
      </c>
      <c r="G393" s="83" t="s">
        <v>49</v>
      </c>
      <c r="H393" s="83" t="s">
        <v>50</v>
      </c>
      <c r="I393" s="100">
        <v>3</v>
      </c>
      <c r="J393" s="100" t="s">
        <v>1068</v>
      </c>
      <c r="K393" s="128">
        <v>1455910</v>
      </c>
      <c r="L393" s="129">
        <v>0.19</v>
      </c>
      <c r="M393" s="128">
        <f t="shared" si="50"/>
        <v>276622.90000000002</v>
      </c>
      <c r="N393" s="128">
        <f t="shared" si="51"/>
        <v>1732532.9</v>
      </c>
      <c r="O393" s="91" t="s">
        <v>343</v>
      </c>
      <c r="P393" s="91" t="s">
        <v>344</v>
      </c>
      <c r="Q393" s="128">
        <f t="shared" si="46"/>
        <v>1732532.9</v>
      </c>
      <c r="R393" s="128"/>
      <c r="S393" s="128"/>
      <c r="T393" s="128"/>
      <c r="U393" s="91" t="s">
        <v>1328</v>
      </c>
      <c r="V393" s="91"/>
      <c r="W393" s="138">
        <f t="shared" si="52"/>
        <v>1455910</v>
      </c>
      <c r="X393" s="91" t="s">
        <v>882</v>
      </c>
      <c r="Y393" s="91" t="s">
        <v>883</v>
      </c>
      <c r="Z393" s="91" t="s">
        <v>883</v>
      </c>
    </row>
    <row r="394" spans="1:26" ht="43" customHeight="1" x14ac:dyDescent="0.35">
      <c r="A394" s="150" t="s">
        <v>1064</v>
      </c>
      <c r="B394" s="91" t="s">
        <v>1003</v>
      </c>
      <c r="C394" s="91" t="s">
        <v>1326</v>
      </c>
      <c r="D394" s="158" t="s">
        <v>1334</v>
      </c>
      <c r="E394" s="91" t="s">
        <v>1335</v>
      </c>
      <c r="F394" s="91" t="s">
        <v>1336</v>
      </c>
      <c r="G394" s="83" t="s">
        <v>42</v>
      </c>
      <c r="H394" s="83" t="s">
        <v>42</v>
      </c>
      <c r="I394" s="100">
        <v>12</v>
      </c>
      <c r="J394" s="100" t="s">
        <v>350</v>
      </c>
      <c r="K394" s="128">
        <v>3840000</v>
      </c>
      <c r="L394" s="129">
        <v>0</v>
      </c>
      <c r="M394" s="128">
        <f t="shared" si="50"/>
        <v>0</v>
      </c>
      <c r="N394" s="128">
        <f t="shared" si="51"/>
        <v>3840000</v>
      </c>
      <c r="O394" s="91" t="s">
        <v>343</v>
      </c>
      <c r="P394" s="91" t="s">
        <v>344</v>
      </c>
      <c r="Q394" s="128">
        <f t="shared" si="46"/>
        <v>3840000</v>
      </c>
      <c r="R394" s="128"/>
      <c r="S394" s="128"/>
      <c r="T394" s="128"/>
      <c r="U394" s="91" t="s">
        <v>1328</v>
      </c>
      <c r="V394" s="91"/>
      <c r="W394" s="138">
        <f>+N394</f>
        <v>3840000</v>
      </c>
      <c r="X394" s="91" t="s">
        <v>969</v>
      </c>
      <c r="Y394" s="91" t="s">
        <v>969</v>
      </c>
      <c r="Z394" s="91" t="s">
        <v>1337</v>
      </c>
    </row>
    <row r="395" spans="1:26" ht="43" customHeight="1" x14ac:dyDescent="0.35">
      <c r="A395" s="150" t="s">
        <v>1064</v>
      </c>
      <c r="B395" s="91" t="s">
        <v>1003</v>
      </c>
      <c r="C395" s="91" t="s">
        <v>1326</v>
      </c>
      <c r="D395" s="158">
        <v>80101510</v>
      </c>
      <c r="E395" s="91" t="s">
        <v>420</v>
      </c>
      <c r="F395" s="91" t="s">
        <v>1338</v>
      </c>
      <c r="G395" s="83" t="s">
        <v>42</v>
      </c>
      <c r="H395" s="83" t="s">
        <v>42</v>
      </c>
      <c r="I395" s="100">
        <v>12</v>
      </c>
      <c r="J395" s="100" t="s">
        <v>350</v>
      </c>
      <c r="K395" s="128">
        <v>33150000</v>
      </c>
      <c r="L395" s="129">
        <v>0.19</v>
      </c>
      <c r="M395" s="128">
        <f t="shared" si="50"/>
        <v>6298500</v>
      </c>
      <c r="N395" s="128">
        <f t="shared" si="51"/>
        <v>39448500</v>
      </c>
      <c r="O395" s="91" t="s">
        <v>343</v>
      </c>
      <c r="P395" s="91" t="s">
        <v>344</v>
      </c>
      <c r="Q395" s="128">
        <f t="shared" si="46"/>
        <v>39448500</v>
      </c>
      <c r="R395" s="128"/>
      <c r="S395" s="128"/>
      <c r="T395" s="128"/>
      <c r="U395" s="91" t="s">
        <v>1328</v>
      </c>
      <c r="V395" s="91"/>
      <c r="W395" s="138">
        <f>+Q395/1.19</f>
        <v>33150000</v>
      </c>
      <c r="X395" s="91" t="s">
        <v>707</v>
      </c>
      <c r="Y395" s="91" t="s">
        <v>707</v>
      </c>
      <c r="Z395" s="91" t="s">
        <v>1180</v>
      </c>
    </row>
    <row r="396" spans="1:26" ht="43" customHeight="1" x14ac:dyDescent="0.35">
      <c r="A396" s="150" t="s">
        <v>1064</v>
      </c>
      <c r="B396" s="91" t="s">
        <v>1003</v>
      </c>
      <c r="C396" s="91" t="s">
        <v>1326</v>
      </c>
      <c r="D396" s="151">
        <v>80141902</v>
      </c>
      <c r="E396" s="152" t="s">
        <v>1066</v>
      </c>
      <c r="F396" s="91" t="s">
        <v>1339</v>
      </c>
      <c r="G396" s="83" t="s">
        <v>52</v>
      </c>
      <c r="H396" s="83" t="s">
        <v>53</v>
      </c>
      <c r="I396" s="100">
        <v>1</v>
      </c>
      <c r="J396" s="100" t="s">
        <v>350</v>
      </c>
      <c r="K396" s="138">
        <v>5000000</v>
      </c>
      <c r="L396" s="129">
        <v>0.19</v>
      </c>
      <c r="M396" s="128">
        <f t="shared" si="50"/>
        <v>950000</v>
      </c>
      <c r="N396" s="128">
        <f t="shared" si="51"/>
        <v>5950000</v>
      </c>
      <c r="O396" s="91" t="s">
        <v>343</v>
      </c>
      <c r="P396" s="91" t="s">
        <v>344</v>
      </c>
      <c r="Q396" s="128">
        <f t="shared" si="46"/>
        <v>5950000</v>
      </c>
      <c r="R396" s="128"/>
      <c r="S396" s="128"/>
      <c r="T396" s="128"/>
      <c r="U396" s="91" t="s">
        <v>1328</v>
      </c>
      <c r="V396" s="91"/>
      <c r="W396" s="138">
        <f>+Q396/1.19</f>
        <v>5000000</v>
      </c>
      <c r="X396" s="91" t="s">
        <v>657</v>
      </c>
      <c r="Y396" s="91" t="s">
        <v>658</v>
      </c>
      <c r="Z396" s="91" t="s">
        <v>659</v>
      </c>
    </row>
    <row r="397" spans="1:26" ht="43" customHeight="1" x14ac:dyDescent="0.35">
      <c r="A397" s="150" t="s">
        <v>1064</v>
      </c>
      <c r="B397" s="91" t="s">
        <v>1003</v>
      </c>
      <c r="C397" s="91" t="s">
        <v>1326</v>
      </c>
      <c r="D397" s="151">
        <v>90101600</v>
      </c>
      <c r="E397" s="152" t="s">
        <v>1082</v>
      </c>
      <c r="F397" s="91" t="s">
        <v>1083</v>
      </c>
      <c r="G397" s="83" t="s">
        <v>45</v>
      </c>
      <c r="H397" s="83" t="s">
        <v>45</v>
      </c>
      <c r="I397" s="100">
        <v>1</v>
      </c>
      <c r="J397" s="100" t="s">
        <v>350</v>
      </c>
      <c r="K397" s="128">
        <v>5000000</v>
      </c>
      <c r="L397" s="154">
        <v>0.19</v>
      </c>
      <c r="M397" s="128">
        <f>K397*L397</f>
        <v>950000</v>
      </c>
      <c r="N397" s="128">
        <f>M397+K397</f>
        <v>5950000</v>
      </c>
      <c r="O397" s="91" t="s">
        <v>343</v>
      </c>
      <c r="P397" s="91" t="s">
        <v>344</v>
      </c>
      <c r="Q397" s="128">
        <f t="shared" si="46"/>
        <v>5950000</v>
      </c>
      <c r="R397" s="128"/>
      <c r="S397" s="128"/>
      <c r="T397" s="128"/>
      <c r="U397" s="91" t="s">
        <v>1328</v>
      </c>
      <c r="V397" s="91"/>
      <c r="W397" s="98">
        <f>K397</f>
        <v>5000000</v>
      </c>
      <c r="X397" s="91" t="s">
        <v>657</v>
      </c>
      <c r="Y397" s="91" t="s">
        <v>658</v>
      </c>
      <c r="Z397" s="91" t="s">
        <v>659</v>
      </c>
    </row>
    <row r="398" spans="1:26" ht="43" customHeight="1" x14ac:dyDescent="0.35">
      <c r="A398" s="150" t="s">
        <v>1064</v>
      </c>
      <c r="B398" s="91" t="s">
        <v>1003</v>
      </c>
      <c r="C398" s="91" t="s">
        <v>1326</v>
      </c>
      <c r="D398" s="151">
        <v>80141902</v>
      </c>
      <c r="E398" s="152" t="s">
        <v>1066</v>
      </c>
      <c r="F398" s="91" t="s">
        <v>1084</v>
      </c>
      <c r="G398" s="100" t="s">
        <v>53</v>
      </c>
      <c r="H398" s="83" t="s">
        <v>53</v>
      </c>
      <c r="I398" s="100">
        <v>1</v>
      </c>
      <c r="J398" s="100" t="s">
        <v>350</v>
      </c>
      <c r="K398" s="128">
        <v>5000000</v>
      </c>
      <c r="L398" s="154">
        <v>0.19</v>
      </c>
      <c r="M398" s="128">
        <f>K398*L398</f>
        <v>950000</v>
      </c>
      <c r="N398" s="128">
        <f>M398+K398</f>
        <v>5950000</v>
      </c>
      <c r="O398" s="91" t="s">
        <v>343</v>
      </c>
      <c r="P398" s="91" t="s">
        <v>344</v>
      </c>
      <c r="Q398" s="128">
        <f t="shared" si="46"/>
        <v>5950000</v>
      </c>
      <c r="R398" s="128"/>
      <c r="S398" s="128"/>
      <c r="T398" s="128"/>
      <c r="U398" s="91" t="s">
        <v>1328</v>
      </c>
      <c r="V398" s="91"/>
      <c r="W398" s="98">
        <f>K398</f>
        <v>5000000</v>
      </c>
      <c r="X398" s="91" t="s">
        <v>657</v>
      </c>
      <c r="Y398" s="91" t="s">
        <v>658</v>
      </c>
      <c r="Z398" s="91" t="s">
        <v>659</v>
      </c>
    </row>
    <row r="399" spans="1:26" ht="43" customHeight="1" x14ac:dyDescent="0.35">
      <c r="A399" s="150" t="s">
        <v>1064</v>
      </c>
      <c r="B399" s="91" t="s">
        <v>1003</v>
      </c>
      <c r="C399" s="91" t="s">
        <v>1326</v>
      </c>
      <c r="D399" s="151">
        <v>78181703</v>
      </c>
      <c r="E399" s="152" t="s">
        <v>1090</v>
      </c>
      <c r="F399" s="91" t="s">
        <v>1240</v>
      </c>
      <c r="G399" s="83" t="s">
        <v>42</v>
      </c>
      <c r="H399" s="83" t="s">
        <v>42</v>
      </c>
      <c r="I399" s="100">
        <v>12</v>
      </c>
      <c r="J399" s="100" t="s">
        <v>350</v>
      </c>
      <c r="K399" s="128">
        <v>4101124</v>
      </c>
      <c r="L399" s="154">
        <v>0.19</v>
      </c>
      <c r="M399" s="128">
        <f>K399*L399</f>
        <v>779213.56</v>
      </c>
      <c r="N399" s="128">
        <f>M399+K399</f>
        <v>4880337.5600000005</v>
      </c>
      <c r="O399" s="91" t="s">
        <v>343</v>
      </c>
      <c r="P399" s="91" t="s">
        <v>344</v>
      </c>
      <c r="Q399" s="128">
        <f t="shared" si="46"/>
        <v>4880337.5600000005</v>
      </c>
      <c r="R399" s="128"/>
      <c r="S399" s="128"/>
      <c r="T399" s="128"/>
      <c r="U399" s="91" t="s">
        <v>1328</v>
      </c>
      <c r="V399" s="91" t="s">
        <v>1205</v>
      </c>
      <c r="W399" s="98">
        <f>K399</f>
        <v>4101124</v>
      </c>
      <c r="X399" s="91" t="s">
        <v>1093</v>
      </c>
      <c r="Y399" s="91" t="s">
        <v>1094</v>
      </c>
      <c r="Z399" s="91" t="s">
        <v>1094</v>
      </c>
    </row>
    <row r="400" spans="1:26" ht="43" customHeight="1" x14ac:dyDescent="0.35">
      <c r="A400" s="150" t="s">
        <v>1064</v>
      </c>
      <c r="B400" s="91" t="s">
        <v>1003</v>
      </c>
      <c r="C400" s="91" t="s">
        <v>1340</v>
      </c>
      <c r="D400" s="155" t="s">
        <v>1086</v>
      </c>
      <c r="E400" s="91" t="s">
        <v>1066</v>
      </c>
      <c r="F400" s="91" t="s">
        <v>1252</v>
      </c>
      <c r="G400" s="100" t="s">
        <v>53</v>
      </c>
      <c r="H400" s="83" t="s">
        <v>53</v>
      </c>
      <c r="I400" s="100">
        <v>1</v>
      </c>
      <c r="J400" s="100" t="s">
        <v>350</v>
      </c>
      <c r="K400" s="128">
        <v>1700000</v>
      </c>
      <c r="L400" s="129">
        <v>0.19</v>
      </c>
      <c r="M400" s="128">
        <f t="shared" ref="M400:M409" si="53">+K400*L400</f>
        <v>323000</v>
      </c>
      <c r="N400" s="128">
        <f t="shared" ref="N400:N409" si="54">+K400+M400</f>
        <v>2023000</v>
      </c>
      <c r="O400" s="91" t="s">
        <v>343</v>
      </c>
      <c r="P400" s="91" t="s">
        <v>344</v>
      </c>
      <c r="Q400" s="128">
        <f t="shared" si="46"/>
        <v>2023000</v>
      </c>
      <c r="R400" s="128"/>
      <c r="S400" s="128"/>
      <c r="T400" s="128"/>
      <c r="U400" s="91" t="s">
        <v>1341</v>
      </c>
      <c r="V400" s="91" t="s">
        <v>1342</v>
      </c>
      <c r="W400" s="138">
        <f t="shared" ref="W400:W414" si="55">+Q400/1.19</f>
        <v>1700000</v>
      </c>
      <c r="X400" s="104" t="s">
        <v>811</v>
      </c>
      <c r="Y400" s="104" t="s">
        <v>811</v>
      </c>
      <c r="Z400" s="104" t="s">
        <v>825</v>
      </c>
    </row>
    <row r="401" spans="1:26" ht="43" customHeight="1" x14ac:dyDescent="0.35">
      <c r="A401" s="150" t="s">
        <v>1064</v>
      </c>
      <c r="B401" s="91" t="s">
        <v>1003</v>
      </c>
      <c r="C401" s="91" t="s">
        <v>1340</v>
      </c>
      <c r="D401" s="155" t="s">
        <v>1086</v>
      </c>
      <c r="E401" s="152" t="s">
        <v>1066</v>
      </c>
      <c r="F401" s="26" t="s">
        <v>1343</v>
      </c>
      <c r="G401" s="83" t="s">
        <v>47</v>
      </c>
      <c r="H401" s="83" t="s">
        <v>47</v>
      </c>
      <c r="I401" s="100">
        <v>1</v>
      </c>
      <c r="J401" s="100" t="s">
        <v>350</v>
      </c>
      <c r="K401" s="128">
        <v>1700000</v>
      </c>
      <c r="L401" s="129">
        <v>0.19</v>
      </c>
      <c r="M401" s="128">
        <f t="shared" si="53"/>
        <v>323000</v>
      </c>
      <c r="N401" s="128">
        <f t="shared" si="54"/>
        <v>2023000</v>
      </c>
      <c r="O401" s="91" t="s">
        <v>343</v>
      </c>
      <c r="P401" s="91" t="s">
        <v>344</v>
      </c>
      <c r="Q401" s="128">
        <f t="shared" si="46"/>
        <v>2023000</v>
      </c>
      <c r="R401" s="128"/>
      <c r="S401" s="128"/>
      <c r="T401" s="128"/>
      <c r="U401" s="91" t="s">
        <v>1341</v>
      </c>
      <c r="V401" s="91" t="s">
        <v>1342</v>
      </c>
      <c r="W401" s="138">
        <f t="shared" si="55"/>
        <v>1700000</v>
      </c>
      <c r="X401" s="104" t="s">
        <v>811</v>
      </c>
      <c r="Y401" s="104" t="s">
        <v>811</v>
      </c>
      <c r="Z401" s="104" t="s">
        <v>825</v>
      </c>
    </row>
    <row r="402" spans="1:26" ht="43" customHeight="1" x14ac:dyDescent="0.35">
      <c r="A402" s="150" t="s">
        <v>1064</v>
      </c>
      <c r="B402" s="91" t="s">
        <v>1003</v>
      </c>
      <c r="C402" s="91" t="s">
        <v>1340</v>
      </c>
      <c r="D402" s="155" t="s">
        <v>1222</v>
      </c>
      <c r="E402" s="91" t="s">
        <v>1171</v>
      </c>
      <c r="F402" s="26" t="s">
        <v>1344</v>
      </c>
      <c r="G402" s="83" t="s">
        <v>45</v>
      </c>
      <c r="H402" s="83" t="s">
        <v>45</v>
      </c>
      <c r="I402" s="100">
        <v>1</v>
      </c>
      <c r="J402" s="100" t="s">
        <v>1068</v>
      </c>
      <c r="K402" s="128">
        <v>1500000</v>
      </c>
      <c r="L402" s="129">
        <v>0.19</v>
      </c>
      <c r="M402" s="128">
        <f t="shared" si="53"/>
        <v>285000</v>
      </c>
      <c r="N402" s="128">
        <f t="shared" si="54"/>
        <v>1785000</v>
      </c>
      <c r="O402" s="91" t="s">
        <v>343</v>
      </c>
      <c r="P402" s="91" t="s">
        <v>344</v>
      </c>
      <c r="Q402" s="128">
        <f t="shared" si="46"/>
        <v>1785000</v>
      </c>
      <c r="R402" s="128"/>
      <c r="S402" s="128"/>
      <c r="T402" s="128"/>
      <c r="U402" s="91" t="s">
        <v>1341</v>
      </c>
      <c r="V402" s="91" t="s">
        <v>1102</v>
      </c>
      <c r="W402" s="138">
        <f t="shared" si="55"/>
        <v>1500000</v>
      </c>
      <c r="X402" s="91" t="s">
        <v>1103</v>
      </c>
      <c r="Y402" s="91" t="s">
        <v>963</v>
      </c>
      <c r="Z402" s="91" t="s">
        <v>1104</v>
      </c>
    </row>
    <row r="403" spans="1:26" ht="43" customHeight="1" x14ac:dyDescent="0.35">
      <c r="A403" s="150" t="s">
        <v>1064</v>
      </c>
      <c r="B403" s="91" t="s">
        <v>1003</v>
      </c>
      <c r="C403" s="91" t="s">
        <v>1340</v>
      </c>
      <c r="D403" s="151">
        <v>56121400</v>
      </c>
      <c r="E403" s="152" t="s">
        <v>1100</v>
      </c>
      <c r="F403" s="26" t="s">
        <v>1345</v>
      </c>
      <c r="G403" s="83" t="s">
        <v>47</v>
      </c>
      <c r="H403" s="83" t="s">
        <v>47</v>
      </c>
      <c r="I403" s="100">
        <v>2</v>
      </c>
      <c r="J403" s="100" t="s">
        <v>1068</v>
      </c>
      <c r="K403" s="128">
        <v>1000000</v>
      </c>
      <c r="L403" s="129">
        <v>0.19</v>
      </c>
      <c r="M403" s="128">
        <f t="shared" si="53"/>
        <v>190000</v>
      </c>
      <c r="N403" s="128">
        <f t="shared" si="54"/>
        <v>1190000</v>
      </c>
      <c r="O403" s="91" t="s">
        <v>343</v>
      </c>
      <c r="P403" s="91" t="s">
        <v>344</v>
      </c>
      <c r="Q403" s="128">
        <f t="shared" si="46"/>
        <v>1190000</v>
      </c>
      <c r="R403" s="128"/>
      <c r="S403" s="128"/>
      <c r="T403" s="128"/>
      <c r="U403" s="91" t="s">
        <v>1341</v>
      </c>
      <c r="V403" s="91" t="s">
        <v>1102</v>
      </c>
      <c r="W403" s="138">
        <f t="shared" si="55"/>
        <v>1000000</v>
      </c>
      <c r="X403" s="91" t="s">
        <v>1103</v>
      </c>
      <c r="Y403" s="91" t="s">
        <v>963</v>
      </c>
      <c r="Z403" s="91" t="s">
        <v>1104</v>
      </c>
    </row>
    <row r="404" spans="1:26" ht="43" customHeight="1" x14ac:dyDescent="0.35">
      <c r="A404" s="150" t="s">
        <v>1064</v>
      </c>
      <c r="B404" s="91" t="s">
        <v>1003</v>
      </c>
      <c r="C404" s="91" t="s">
        <v>1340</v>
      </c>
      <c r="D404" s="158" t="s">
        <v>1200</v>
      </c>
      <c r="E404" s="91" t="s">
        <v>1201</v>
      </c>
      <c r="F404" s="26" t="s">
        <v>1346</v>
      </c>
      <c r="G404" s="83" t="s">
        <v>49</v>
      </c>
      <c r="H404" s="83" t="s">
        <v>49</v>
      </c>
      <c r="I404" s="100">
        <v>1</v>
      </c>
      <c r="J404" s="100" t="s">
        <v>1068</v>
      </c>
      <c r="K404" s="128">
        <v>600000</v>
      </c>
      <c r="L404" s="129">
        <v>0.19</v>
      </c>
      <c r="M404" s="128">
        <f t="shared" si="53"/>
        <v>114000</v>
      </c>
      <c r="N404" s="128">
        <f t="shared" si="54"/>
        <v>714000</v>
      </c>
      <c r="O404" s="91" t="s">
        <v>343</v>
      </c>
      <c r="P404" s="91" t="s">
        <v>344</v>
      </c>
      <c r="Q404" s="128">
        <f t="shared" si="46"/>
        <v>714000</v>
      </c>
      <c r="R404" s="128"/>
      <c r="S404" s="128"/>
      <c r="T404" s="128"/>
      <c r="U404" s="91" t="s">
        <v>1341</v>
      </c>
      <c r="V404" s="91"/>
      <c r="W404" s="138">
        <f t="shared" si="55"/>
        <v>600000</v>
      </c>
      <c r="X404" s="91" t="s">
        <v>882</v>
      </c>
      <c r="Y404" s="91" t="s">
        <v>883</v>
      </c>
      <c r="Z404" s="91" t="s">
        <v>883</v>
      </c>
    </row>
    <row r="405" spans="1:26" ht="43" customHeight="1" x14ac:dyDescent="0.35">
      <c r="A405" s="150" t="s">
        <v>1064</v>
      </c>
      <c r="B405" s="91" t="s">
        <v>1003</v>
      </c>
      <c r="C405" s="91" t="s">
        <v>1340</v>
      </c>
      <c r="D405" s="151">
        <v>39112505</v>
      </c>
      <c r="E405" s="91" t="s">
        <v>972</v>
      </c>
      <c r="F405" s="26" t="s">
        <v>1347</v>
      </c>
      <c r="G405" s="83" t="s">
        <v>48</v>
      </c>
      <c r="H405" s="83" t="s">
        <v>48</v>
      </c>
      <c r="I405" s="100">
        <v>10</v>
      </c>
      <c r="J405" s="100" t="s">
        <v>350</v>
      </c>
      <c r="K405" s="128">
        <v>6000000</v>
      </c>
      <c r="L405" s="129">
        <v>0.19</v>
      </c>
      <c r="M405" s="128">
        <f t="shared" si="53"/>
        <v>1140000</v>
      </c>
      <c r="N405" s="128">
        <f t="shared" si="54"/>
        <v>7140000</v>
      </c>
      <c r="O405" s="91" t="s">
        <v>343</v>
      </c>
      <c r="P405" s="91" t="s">
        <v>344</v>
      </c>
      <c r="Q405" s="128">
        <f t="shared" si="46"/>
        <v>7140000</v>
      </c>
      <c r="R405" s="128"/>
      <c r="S405" s="128"/>
      <c r="T405" s="128"/>
      <c r="U405" s="91" t="s">
        <v>1341</v>
      </c>
      <c r="V405" s="91" t="s">
        <v>1102</v>
      </c>
      <c r="W405" s="138">
        <f t="shared" si="55"/>
        <v>6000000</v>
      </c>
      <c r="X405" s="91" t="s">
        <v>983</v>
      </c>
      <c r="Y405" s="91" t="s">
        <v>983</v>
      </c>
      <c r="Z405" s="91" t="s">
        <v>1110</v>
      </c>
    </row>
    <row r="406" spans="1:26" ht="43" customHeight="1" x14ac:dyDescent="0.35">
      <c r="A406" s="150" t="s">
        <v>1064</v>
      </c>
      <c r="B406" s="91" t="s">
        <v>1003</v>
      </c>
      <c r="C406" s="91" t="s">
        <v>1340</v>
      </c>
      <c r="D406" s="155" t="s">
        <v>1348</v>
      </c>
      <c r="E406" s="152" t="s">
        <v>1349</v>
      </c>
      <c r="F406" s="106" t="s">
        <v>1350</v>
      </c>
      <c r="G406" s="83" t="s">
        <v>51</v>
      </c>
      <c r="H406" s="83" t="s">
        <v>51</v>
      </c>
      <c r="I406" s="100">
        <v>1</v>
      </c>
      <c r="J406" s="100" t="s">
        <v>350</v>
      </c>
      <c r="K406" s="128">
        <v>4000000</v>
      </c>
      <c r="L406" s="129">
        <v>0.19</v>
      </c>
      <c r="M406" s="128">
        <f t="shared" si="53"/>
        <v>760000</v>
      </c>
      <c r="N406" s="128">
        <f t="shared" si="54"/>
        <v>4760000</v>
      </c>
      <c r="O406" s="91" t="s">
        <v>343</v>
      </c>
      <c r="P406" s="91" t="s">
        <v>344</v>
      </c>
      <c r="Q406" s="128">
        <f t="shared" si="46"/>
        <v>4760000</v>
      </c>
      <c r="R406" s="128"/>
      <c r="S406" s="128"/>
      <c r="T406" s="128"/>
      <c r="U406" s="91" t="s">
        <v>1341</v>
      </c>
      <c r="V406" s="91" t="s">
        <v>1102</v>
      </c>
      <c r="W406" s="138">
        <f t="shared" si="55"/>
        <v>4000000</v>
      </c>
      <c r="X406" s="91" t="s">
        <v>983</v>
      </c>
      <c r="Y406" s="91" t="s">
        <v>983</v>
      </c>
      <c r="Z406" s="91" t="s">
        <v>1110</v>
      </c>
    </row>
    <row r="407" spans="1:26" ht="43" customHeight="1" x14ac:dyDescent="0.35">
      <c r="A407" s="150" t="s">
        <v>1064</v>
      </c>
      <c r="B407" s="91" t="s">
        <v>1003</v>
      </c>
      <c r="C407" s="91" t="s">
        <v>1340</v>
      </c>
      <c r="D407" s="155">
        <v>72101511</v>
      </c>
      <c r="E407" s="91" t="s">
        <v>886</v>
      </c>
      <c r="F407" s="26" t="s">
        <v>1169</v>
      </c>
      <c r="G407" s="83" t="s">
        <v>43</v>
      </c>
      <c r="H407" s="83" t="s">
        <v>43</v>
      </c>
      <c r="I407" s="100">
        <v>10</v>
      </c>
      <c r="J407" s="100" t="s">
        <v>350</v>
      </c>
      <c r="K407" s="128">
        <v>11000000</v>
      </c>
      <c r="L407" s="129">
        <v>0.19</v>
      </c>
      <c r="M407" s="128">
        <f t="shared" si="53"/>
        <v>2090000</v>
      </c>
      <c r="N407" s="128">
        <f t="shared" si="54"/>
        <v>13090000</v>
      </c>
      <c r="O407" s="91" t="s">
        <v>343</v>
      </c>
      <c r="P407" s="91" t="s">
        <v>344</v>
      </c>
      <c r="Q407" s="128">
        <f t="shared" si="46"/>
        <v>13090000</v>
      </c>
      <c r="R407" s="128"/>
      <c r="S407" s="128"/>
      <c r="T407" s="128"/>
      <c r="U407" s="91" t="s">
        <v>1341</v>
      </c>
      <c r="V407" s="26"/>
      <c r="W407" s="138">
        <f t="shared" si="55"/>
        <v>11000000</v>
      </c>
      <c r="X407" s="91" t="s">
        <v>882</v>
      </c>
      <c r="Y407" s="91" t="s">
        <v>883</v>
      </c>
      <c r="Z407" s="91" t="s">
        <v>889</v>
      </c>
    </row>
    <row r="408" spans="1:26" ht="43" customHeight="1" x14ac:dyDescent="0.35">
      <c r="A408" s="150" t="s">
        <v>1064</v>
      </c>
      <c r="B408" s="91" t="s">
        <v>1003</v>
      </c>
      <c r="C408" s="91" t="s">
        <v>1340</v>
      </c>
      <c r="D408" s="155" t="s">
        <v>905</v>
      </c>
      <c r="E408" s="152" t="s">
        <v>1351</v>
      </c>
      <c r="F408" s="26" t="s">
        <v>1352</v>
      </c>
      <c r="G408" s="83" t="s">
        <v>50</v>
      </c>
      <c r="H408" s="83" t="s">
        <v>50</v>
      </c>
      <c r="I408" s="100">
        <v>1</v>
      </c>
      <c r="J408" s="100" t="s">
        <v>1068</v>
      </c>
      <c r="K408" s="128">
        <v>1200000</v>
      </c>
      <c r="L408" s="129">
        <v>0.19</v>
      </c>
      <c r="M408" s="128">
        <f t="shared" si="53"/>
        <v>228000</v>
      </c>
      <c r="N408" s="128">
        <f t="shared" si="54"/>
        <v>1428000</v>
      </c>
      <c r="O408" s="91" t="s">
        <v>343</v>
      </c>
      <c r="P408" s="91" t="s">
        <v>344</v>
      </c>
      <c r="Q408" s="128">
        <f t="shared" si="46"/>
        <v>1428000</v>
      </c>
      <c r="R408" s="128"/>
      <c r="S408" s="128"/>
      <c r="T408" s="128"/>
      <c r="U408" s="91" t="s">
        <v>1341</v>
      </c>
      <c r="V408" s="91"/>
      <c r="W408" s="138">
        <f t="shared" si="55"/>
        <v>1200000</v>
      </c>
      <c r="X408" s="91" t="s">
        <v>861</v>
      </c>
      <c r="Y408" s="91" t="s">
        <v>861</v>
      </c>
      <c r="Z408" s="91" t="s">
        <v>861</v>
      </c>
    </row>
    <row r="409" spans="1:26" ht="43" customHeight="1" x14ac:dyDescent="0.35">
      <c r="A409" s="150" t="s">
        <v>1064</v>
      </c>
      <c r="B409" s="91" t="s">
        <v>1003</v>
      </c>
      <c r="C409" s="91" t="s">
        <v>1340</v>
      </c>
      <c r="D409" s="158" t="s">
        <v>1200</v>
      </c>
      <c r="E409" s="91" t="s">
        <v>1201</v>
      </c>
      <c r="F409" s="26" t="s">
        <v>1346</v>
      </c>
      <c r="G409" s="83" t="s">
        <v>49</v>
      </c>
      <c r="H409" s="83" t="s">
        <v>49</v>
      </c>
      <c r="I409" s="100">
        <v>1</v>
      </c>
      <c r="J409" s="100" t="s">
        <v>1068</v>
      </c>
      <c r="K409" s="128">
        <v>600000</v>
      </c>
      <c r="L409" s="129">
        <v>0.19</v>
      </c>
      <c r="M409" s="128">
        <f t="shared" si="53"/>
        <v>114000</v>
      </c>
      <c r="N409" s="128">
        <f t="shared" si="54"/>
        <v>714000</v>
      </c>
      <c r="O409" s="91" t="s">
        <v>343</v>
      </c>
      <c r="P409" s="91" t="s">
        <v>344</v>
      </c>
      <c r="Q409" s="128">
        <f t="shared" si="46"/>
        <v>714000</v>
      </c>
      <c r="R409" s="128"/>
      <c r="S409" s="128"/>
      <c r="T409" s="128"/>
      <c r="U409" s="91" t="s">
        <v>1341</v>
      </c>
      <c r="V409" s="91"/>
      <c r="W409" s="138">
        <f t="shared" si="55"/>
        <v>600000</v>
      </c>
      <c r="X409" s="91" t="s">
        <v>882</v>
      </c>
      <c r="Y409" s="91" t="s">
        <v>883</v>
      </c>
      <c r="Z409" s="91" t="s">
        <v>883</v>
      </c>
    </row>
    <row r="410" spans="1:26" ht="43" customHeight="1" x14ac:dyDescent="0.35">
      <c r="A410" s="150" t="s">
        <v>1064</v>
      </c>
      <c r="B410" s="91" t="s">
        <v>1003</v>
      </c>
      <c r="C410" s="91" t="s">
        <v>1340</v>
      </c>
      <c r="D410" s="151">
        <v>90101600</v>
      </c>
      <c r="E410" s="152" t="s">
        <v>1082</v>
      </c>
      <c r="F410" s="91" t="s">
        <v>1083</v>
      </c>
      <c r="G410" s="83" t="s">
        <v>45</v>
      </c>
      <c r="H410" s="83" t="s">
        <v>45</v>
      </c>
      <c r="I410" s="100">
        <v>1</v>
      </c>
      <c r="J410" s="100" t="s">
        <v>350</v>
      </c>
      <c r="K410" s="128">
        <v>4000000</v>
      </c>
      <c r="L410" s="154">
        <v>0.19</v>
      </c>
      <c r="M410" s="128">
        <f>K410*L410</f>
        <v>760000</v>
      </c>
      <c r="N410" s="128">
        <f>M410+K410</f>
        <v>4760000</v>
      </c>
      <c r="O410" s="91" t="s">
        <v>343</v>
      </c>
      <c r="P410" s="91" t="s">
        <v>344</v>
      </c>
      <c r="Q410" s="128">
        <f t="shared" si="46"/>
        <v>4760000</v>
      </c>
      <c r="R410" s="128"/>
      <c r="S410" s="128"/>
      <c r="T410" s="128"/>
      <c r="U410" s="91" t="s">
        <v>1353</v>
      </c>
      <c r="V410" s="91"/>
      <c r="W410" s="138">
        <f t="shared" si="55"/>
        <v>4000000</v>
      </c>
      <c r="X410" s="91" t="s">
        <v>657</v>
      </c>
      <c r="Y410" s="91" t="s">
        <v>658</v>
      </c>
      <c r="Z410" s="91" t="s">
        <v>659</v>
      </c>
    </row>
    <row r="411" spans="1:26" ht="43" customHeight="1" x14ac:dyDescent="0.35">
      <c r="A411" s="150" t="s">
        <v>1064</v>
      </c>
      <c r="B411" s="91" t="s">
        <v>1003</v>
      </c>
      <c r="C411" s="91" t="s">
        <v>1340</v>
      </c>
      <c r="D411" s="151">
        <v>80141902</v>
      </c>
      <c r="E411" s="152" t="s">
        <v>1066</v>
      </c>
      <c r="F411" s="91" t="s">
        <v>1084</v>
      </c>
      <c r="G411" s="100" t="s">
        <v>53</v>
      </c>
      <c r="H411" s="83" t="s">
        <v>53</v>
      </c>
      <c r="I411" s="100">
        <v>1</v>
      </c>
      <c r="J411" s="100" t="s">
        <v>350</v>
      </c>
      <c r="K411" s="128">
        <v>4000000</v>
      </c>
      <c r="L411" s="154">
        <v>0.19</v>
      </c>
      <c r="M411" s="128">
        <f>K411*L411</f>
        <v>760000</v>
      </c>
      <c r="N411" s="128">
        <f>M411+K411</f>
        <v>4760000</v>
      </c>
      <c r="O411" s="91" t="s">
        <v>343</v>
      </c>
      <c r="P411" s="91" t="s">
        <v>344</v>
      </c>
      <c r="Q411" s="128">
        <f t="shared" si="46"/>
        <v>4760000</v>
      </c>
      <c r="R411" s="128"/>
      <c r="S411" s="128"/>
      <c r="T411" s="128"/>
      <c r="U411" s="91" t="s">
        <v>1353</v>
      </c>
      <c r="V411" s="91"/>
      <c r="W411" s="138">
        <f t="shared" si="55"/>
        <v>4000000</v>
      </c>
      <c r="X411" s="91" t="s">
        <v>657</v>
      </c>
      <c r="Y411" s="91" t="s">
        <v>658</v>
      </c>
      <c r="Z411" s="91" t="s">
        <v>659</v>
      </c>
    </row>
    <row r="412" spans="1:26" ht="43" customHeight="1" x14ac:dyDescent="0.35">
      <c r="A412" s="150" t="s">
        <v>1064</v>
      </c>
      <c r="B412" s="91" t="s">
        <v>1003</v>
      </c>
      <c r="C412" s="91" t="s">
        <v>1354</v>
      </c>
      <c r="D412" s="151">
        <v>82121507</v>
      </c>
      <c r="E412" s="152" t="s">
        <v>1128</v>
      </c>
      <c r="F412" s="91" t="s">
        <v>1355</v>
      </c>
      <c r="G412" s="83" t="s">
        <v>45</v>
      </c>
      <c r="H412" s="83" t="s">
        <v>46</v>
      </c>
      <c r="I412" s="100">
        <v>7</v>
      </c>
      <c r="J412" s="100" t="s">
        <v>350</v>
      </c>
      <c r="K412" s="128">
        <v>18696000</v>
      </c>
      <c r="L412" s="154">
        <v>0.19</v>
      </c>
      <c r="M412" s="128">
        <f>+K412*L412</f>
        <v>3552240</v>
      </c>
      <c r="N412" s="128">
        <f>+K412+M412</f>
        <v>22248240</v>
      </c>
      <c r="O412" s="91" t="s">
        <v>343</v>
      </c>
      <c r="P412" s="91" t="s">
        <v>344</v>
      </c>
      <c r="Q412" s="128">
        <f t="shared" si="46"/>
        <v>22248240</v>
      </c>
      <c r="R412" s="138"/>
      <c r="S412" s="138"/>
      <c r="T412" s="138"/>
      <c r="U412" s="157" t="s">
        <v>1151</v>
      </c>
      <c r="V412" s="91"/>
      <c r="W412" s="138">
        <f t="shared" si="55"/>
        <v>18696000</v>
      </c>
      <c r="X412" s="91" t="s">
        <v>707</v>
      </c>
      <c r="Y412" s="91" t="s">
        <v>707</v>
      </c>
      <c r="Z412" s="91" t="s">
        <v>1131</v>
      </c>
    </row>
    <row r="413" spans="1:26" ht="43" customHeight="1" x14ac:dyDescent="0.35">
      <c r="A413" s="150" t="s">
        <v>1064</v>
      </c>
      <c r="B413" s="91" t="s">
        <v>1003</v>
      </c>
      <c r="C413" s="91" t="s">
        <v>1321</v>
      </c>
      <c r="D413" s="151">
        <v>90101600</v>
      </c>
      <c r="E413" s="152" t="s">
        <v>1082</v>
      </c>
      <c r="F413" s="91" t="s">
        <v>1083</v>
      </c>
      <c r="G413" s="83" t="s">
        <v>45</v>
      </c>
      <c r="H413" s="83" t="s">
        <v>45</v>
      </c>
      <c r="I413" s="100">
        <v>1</v>
      </c>
      <c r="J413" s="100" t="s">
        <v>350</v>
      </c>
      <c r="K413" s="128">
        <v>3183326</v>
      </c>
      <c r="L413" s="154">
        <v>0.19</v>
      </c>
      <c r="M413" s="128">
        <f>K413*L413</f>
        <v>604831.94000000006</v>
      </c>
      <c r="N413" s="128">
        <f>M413+K413</f>
        <v>3788157.94</v>
      </c>
      <c r="O413" s="91" t="s">
        <v>343</v>
      </c>
      <c r="P413" s="91" t="s">
        <v>344</v>
      </c>
      <c r="Q413" s="128">
        <f t="shared" si="46"/>
        <v>3788157.94</v>
      </c>
      <c r="R413" s="128"/>
      <c r="S413" s="128"/>
      <c r="T413" s="128"/>
      <c r="U413" s="91" t="s">
        <v>1356</v>
      </c>
      <c r="V413" s="91"/>
      <c r="W413" s="138">
        <f t="shared" si="55"/>
        <v>3183326</v>
      </c>
      <c r="X413" s="91" t="s">
        <v>657</v>
      </c>
      <c r="Y413" s="91" t="s">
        <v>658</v>
      </c>
      <c r="Z413" s="91" t="s">
        <v>659</v>
      </c>
    </row>
    <row r="414" spans="1:26" ht="43" customHeight="1" thickBot="1" x14ac:dyDescent="0.4">
      <c r="A414" s="162" t="s">
        <v>1064</v>
      </c>
      <c r="B414" s="163" t="s">
        <v>1003</v>
      </c>
      <c r="C414" s="163" t="s">
        <v>1321</v>
      </c>
      <c r="D414" s="164">
        <v>80141902</v>
      </c>
      <c r="E414" s="165" t="s">
        <v>1066</v>
      </c>
      <c r="F414" s="163" t="s">
        <v>1084</v>
      </c>
      <c r="G414" s="166" t="s">
        <v>53</v>
      </c>
      <c r="H414" s="167" t="s">
        <v>53</v>
      </c>
      <c r="I414" s="166">
        <v>1</v>
      </c>
      <c r="J414" s="166" t="s">
        <v>350</v>
      </c>
      <c r="K414" s="168">
        <v>3183326</v>
      </c>
      <c r="L414" s="169">
        <v>0.19</v>
      </c>
      <c r="M414" s="168">
        <f>K414*L414</f>
        <v>604831.94000000006</v>
      </c>
      <c r="N414" s="168">
        <f>M414+K414</f>
        <v>3788157.94</v>
      </c>
      <c r="O414" s="163" t="s">
        <v>343</v>
      </c>
      <c r="P414" s="163" t="s">
        <v>344</v>
      </c>
      <c r="Q414" s="168">
        <f t="shared" si="46"/>
        <v>3788157.94</v>
      </c>
      <c r="R414" s="168"/>
      <c r="S414" s="168"/>
      <c r="T414" s="168"/>
      <c r="U414" s="163" t="s">
        <v>1356</v>
      </c>
      <c r="V414" s="163"/>
      <c r="W414" s="170">
        <f t="shared" si="55"/>
        <v>3183326</v>
      </c>
      <c r="X414" s="163" t="s">
        <v>657</v>
      </c>
      <c r="Y414" s="163" t="s">
        <v>658</v>
      </c>
      <c r="Z414" s="163" t="s">
        <v>659</v>
      </c>
    </row>
    <row r="415" spans="1:26" ht="30" thickTop="1" thickBot="1" x14ac:dyDescent="0.4">
      <c r="A415" s="162" t="s">
        <v>1064</v>
      </c>
      <c r="B415" s="163" t="s">
        <v>1003</v>
      </c>
      <c r="C415" s="171" t="s">
        <v>1096</v>
      </c>
      <c r="D415" s="172">
        <v>78181703</v>
      </c>
      <c r="E415" s="173" t="s">
        <v>1090</v>
      </c>
      <c r="F415" s="171" t="s">
        <v>1240</v>
      </c>
      <c r="G415" s="174" t="s">
        <v>42</v>
      </c>
      <c r="H415" s="174" t="s">
        <v>42</v>
      </c>
      <c r="I415" s="175">
        <v>11</v>
      </c>
      <c r="J415" s="175" t="s">
        <v>350</v>
      </c>
      <c r="K415" s="176">
        <v>3719101</v>
      </c>
      <c r="L415" s="169">
        <v>0.19</v>
      </c>
      <c r="M415" s="168">
        <f>K415*L415</f>
        <v>706629.19000000006</v>
      </c>
      <c r="N415" s="168">
        <f>M415+K415</f>
        <v>4425730.1900000004</v>
      </c>
      <c r="O415" s="163" t="s">
        <v>343</v>
      </c>
      <c r="P415" s="163" t="s">
        <v>344</v>
      </c>
      <c r="Q415" s="176">
        <f>N415</f>
        <v>4425730.1900000004</v>
      </c>
      <c r="R415" s="176"/>
      <c r="S415" s="176"/>
      <c r="T415" s="176"/>
      <c r="U415" s="171" t="s">
        <v>1357</v>
      </c>
      <c r="V415" s="171" t="s">
        <v>1358</v>
      </c>
      <c r="W415" s="177">
        <f>+Q415/1.19</f>
        <v>3719101.0000000005</v>
      </c>
      <c r="X415" s="13" t="s">
        <v>1093</v>
      </c>
      <c r="Y415" s="13" t="s">
        <v>1094</v>
      </c>
      <c r="Z415" s="13" t="s">
        <v>1094</v>
      </c>
    </row>
    <row r="416" spans="1:26" ht="15.5" thickTop="1" thickBot="1" x14ac:dyDescent="0.4">
      <c r="A416" s="178" t="s">
        <v>1359</v>
      </c>
      <c r="B416" s="179" t="e">
        <v>#REF!</v>
      </c>
      <c r="C416" s="180" t="e">
        <v>#REF!</v>
      </c>
      <c r="D416" s="181"/>
      <c r="E416" s="181"/>
      <c r="F416" s="182"/>
      <c r="G416" s="183" t="e">
        <v>#REF!</v>
      </c>
      <c r="H416" s="183" t="e">
        <v>#REF!</v>
      </c>
      <c r="I416" s="184"/>
      <c r="J416" s="185" t="e">
        <v>#REF!</v>
      </c>
      <c r="K416" s="186" t="e">
        <v>#REF!</v>
      </c>
      <c r="L416" s="187"/>
      <c r="M416" s="186" t="e">
        <v>#REF!</v>
      </c>
      <c r="N416" s="186" t="e">
        <v>#REF!</v>
      </c>
      <c r="O416" s="182"/>
      <c r="P416" s="182"/>
      <c r="Q416" s="186" t="e">
        <v>#REF!</v>
      </c>
      <c r="R416" s="186" t="e">
        <v>#REF!</v>
      </c>
      <c r="S416" s="186" t="e">
        <v>#REF!</v>
      </c>
      <c r="T416" s="186" t="e">
        <v>#REF!</v>
      </c>
      <c r="U416" s="182"/>
      <c r="V416" s="182"/>
      <c r="W416" s="188" t="e">
        <v>#REF!</v>
      </c>
      <c r="X416" s="189"/>
      <c r="Y416" s="189"/>
      <c r="Z416" s="190"/>
    </row>
    <row r="417" ht="15" thickTop="1" x14ac:dyDescent="0.35"/>
  </sheetData>
  <sheetProtection algorithmName="SHA-512" hashValue="EPbsXuoC7Q+9MQQ/OVhVyoJ1g7YABAB9YLDuOsWzvCVd5w0h7JANIhjIFDTgAAQDRW963C3L/G+jhraZcEY7iQ==" saltValue="kyX+lJc56jFj2sFEBDTutA==" spinCount="100000" sheet="1" formatCells="0" formatColumns="0" formatRows="0" insertColumns="0" insertRows="0" insertHyperlinks="0" deleteColumns="0" deleteRows="0" sort="0" autoFilter="0" pivotTables="0"/>
  <protectedRanges>
    <protectedRange sqref="N6:O10 R6:S10 V6:V10 Y6:Z10" name="Rango1"/>
  </protectedRanges>
  <autoFilter ref="A11:S416" xr:uid="{4A8A54E6-0E3C-4D28-A4A6-20A8902E70B4}"/>
  <mergeCells count="20">
    <mergeCell ref="L6:M10"/>
    <mergeCell ref="N6:O10"/>
    <mergeCell ref="P6:Q10"/>
    <mergeCell ref="R6:S10"/>
    <mergeCell ref="A1:B3"/>
    <mergeCell ref="C1:Z3"/>
    <mergeCell ref="A4:A5"/>
    <mergeCell ref="E4:E5"/>
    <mergeCell ref="A6:A10"/>
    <mergeCell ref="B6:B10"/>
    <mergeCell ref="C6:D10"/>
    <mergeCell ref="E6:E10"/>
    <mergeCell ref="F6:G10"/>
    <mergeCell ref="H6:H10"/>
    <mergeCell ref="T6:U10"/>
    <mergeCell ref="I6:J10"/>
    <mergeCell ref="K6:K10"/>
    <mergeCell ref="V6:V10"/>
    <mergeCell ref="W6:X10"/>
    <mergeCell ref="Y6:Z10"/>
  </mergeCells>
  <conditionalFormatting sqref="G4">
    <cfRule type="cellIs" dxfId="150" priority="18" operator="lessThanOrEqual">
      <formula>#REF!</formula>
    </cfRule>
  </conditionalFormatting>
  <conditionalFormatting sqref="H6">
    <cfRule type="cellIs" dxfId="149" priority="1" operator="greaterThanOrEqual">
      <formula>$G$5</formula>
    </cfRule>
    <cfRule type="cellIs" dxfId="148" priority="2" operator="lessThanOrEqual">
      <formula>$G$4</formula>
    </cfRule>
    <cfRule type="cellIs" dxfId="147" priority="3" operator="between">
      <formula>$G$5</formula>
      <formula>$G$4</formula>
    </cfRule>
  </conditionalFormatting>
  <conditionalFormatting sqref="N6">
    <cfRule type="cellIs" dxfId="146" priority="13" operator="greaterThanOrEqual">
      <formula>$G$5</formula>
    </cfRule>
    <cfRule type="cellIs" dxfId="145" priority="14" operator="lessThanOrEqual">
      <formula>$G$4</formula>
    </cfRule>
    <cfRule type="cellIs" dxfId="144" priority="15" operator="between">
      <formula>$G$5</formula>
      <formula>$G$4</formula>
    </cfRule>
  </conditionalFormatting>
  <conditionalFormatting sqref="R6">
    <cfRule type="cellIs" dxfId="143" priority="10" operator="greaterThanOrEqual">
      <formula>$G$5</formula>
    </cfRule>
    <cfRule type="cellIs" dxfId="142" priority="11" operator="lessThanOrEqual">
      <formula>$G$4</formula>
    </cfRule>
    <cfRule type="cellIs" dxfId="141" priority="12" operator="between">
      <formula>$G$5</formula>
      <formula>$G$4</formula>
    </cfRule>
  </conditionalFormatting>
  <conditionalFormatting sqref="V6">
    <cfRule type="cellIs" dxfId="140" priority="7" operator="greaterThanOrEqual">
      <formula>$G$5</formula>
    </cfRule>
    <cfRule type="cellIs" dxfId="139" priority="8" operator="lessThanOrEqual">
      <formula>$G$4</formula>
    </cfRule>
    <cfRule type="cellIs" dxfId="138" priority="9" operator="between">
      <formula>$G$5</formula>
      <formula>$G$4</formula>
    </cfRule>
  </conditionalFormatting>
  <conditionalFormatting sqref="Y6">
    <cfRule type="cellIs" dxfId="137" priority="4" operator="greaterThanOrEqual">
      <formula>$G$5</formula>
    </cfRule>
    <cfRule type="cellIs" dxfId="136" priority="5" operator="lessThanOrEqual">
      <formula>$G$4</formula>
    </cfRule>
    <cfRule type="cellIs" dxfId="135" priority="6" operator="between">
      <formula>$G$5</formula>
      <formula>$G$4</formula>
    </cfRule>
  </conditionalFormatting>
  <dataValidations count="7">
    <dataValidation allowBlank="1" showInputMessage="1" showErrorMessage="1" errorTitle="CÓDIGO" error="SOLO CÓDIGOS DEL SIGUIENTE LINK https://www.colombiacompra.gov.co/clasificador-de-bienes-y-Servicios UBICADO EN EL TÍTULO DE ESTA COLUMNA" sqref="E25 E148:E149" xr:uid="{E986C1DA-D9C8-4E40-BB0B-AEFEA2155B6E}"/>
    <dataValidation type="whole" allowBlank="1" showInputMessage="1" showErrorMessage="1" sqref="D173:D209 D216 D220:D226" xr:uid="{8ABEC18F-3209-413A-9AF1-5971BF4043E4}">
      <formula1>#REF!</formula1>
      <formula2>#REF!</formula2>
    </dataValidation>
    <dataValidation type="list" allowBlank="1" showInputMessage="1" showErrorMessage="1" errorTitle="VIGENCIA FUTURA" error="ELIJA ÚNICAMENTE SO O NO" sqref="O31:O34 O41:O89 O91:O92 O220:O250 O263:O314 O322:O335 O340:O415 O14:O29 O94:O216" xr:uid="{EE4FEBB3-0CE0-4A38-A3BD-17BA0C1EDAEC}">
      <formula1>"SI,NO"</formula1>
    </dataValidation>
    <dataValidation type="whole" allowBlank="1" showInputMessage="1" showErrorMessage="1" sqref="Q15:Q16 Q22:Q23 Q25 Q18:Q20 R15:T25 Q33:R34 Q41:T44 S33:T40 R51:R67 Q210:T211 Q73:T73 R70:T70 R48 T72 Q75:T76 Q78:T78 Q81:T81 R79:T79 Q83:T83 R82:T82 Q220:Q414 R86:T86 S45:T68 Q45:R46 Q91:Q97 Q99:Q102 Q119:Q130 Q132:Q136 Q55 Q181 Q184:Q185 Q188 Q195:Q202 R191:R201 R202:T209 Q173:Q176 S173:T201 R173:R183 Q216:T216 R213:T215 R217:T250 R263:T314 R322:T335 R340:T371 R373:T414 R91:T137 Q87:T89 Q140:T172" xr:uid="{5D155824-3156-4957-A5BB-811429982158}">
      <formula1>0</formula1>
      <formula2>9.99999999999999E+56</formula2>
    </dataValidation>
    <dataValidation operator="greaterThanOrEqual" allowBlank="1" showInputMessage="1" showErrorMessage="1" errorTitle="VALOR" error="SOLO VALORES NUMÉRICOS" sqref="Q14 Q17 Q24 N35:N40 M41:N44 M35 M45:M69 N84:N85 M70:N83 N45:N68 Q98 M86:N143 K198 K207 Q207 M373:N415 M12:N34 M150:N371 Q103:Q118" xr:uid="{D043CAF9-5209-4DDF-8BEB-1C2F43009DD3}"/>
    <dataValidation type="whole" operator="greaterThanOrEqual" allowBlank="1" showInputMessage="1" showErrorMessage="1" errorTitle="DURACIÓN EN DÍAS" error="SOLO VALORES NUMÉRICOS" sqref="I144:I146 I182:I199 I202:I209 I173:I180" xr:uid="{D92D481F-8F68-468E-BBCC-0B04BFBEFB70}">
      <formula1>1</formula1>
    </dataValidation>
    <dataValidation type="whole" allowBlank="1" showInputMessage="1" showErrorMessage="1" errorTitle="CÓDIGO" error="SOLO CÓDIGOS DEL SIGUIENTE LINK https://www.colombiacompra.gov.co/clasificador-de-bienes-y-Servicios UBICADO EN EL TÍTULO DE ESTA COLUMNA" sqref="D14 D20 D22:D23 D51 D148" xr:uid="{8E994222-B291-4898-84D6-80B898D0E5FB}">
      <formula1>10101500</formula1>
      <formula2>95141904</formula2>
    </dataValidation>
  </dataValidations>
  <hyperlinks>
    <hyperlink ref="D11" location="'CODIGOS UNSPSC'!A1" display="Códigos UNSPSC" xr:uid="{651BFFF4-BFEC-4889-97ED-2065032E58AD}"/>
  </hyperlinks>
  <pageMargins left="0.7" right="0.7" top="0.75" bottom="0.75" header="0.3" footer="0.3"/>
  <pageSetup scale="11" orientation="portrait" r:id="rId1"/>
  <headerFooter>
    <oddFooter>&amp;C_x000D_&amp;1#&amp;"Calibri"&amp;10&amp;K008000 DOCUMENTO PÚBLICO</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11E26-D7F4-4910-AE1C-36EC69D5C757}">
  <dimension ref="A1:AH103"/>
  <sheetViews>
    <sheetView showGridLines="0" view="pageBreakPreview" topLeftCell="O1" zoomScale="50" zoomScaleNormal="10" zoomScaleSheetLayoutView="50" zoomScalePageLayoutView="48" workbookViewId="0">
      <selection activeCell="AC20" activeCellId="4" sqref="R14:AC14 R16:AC16 R18:AC18 AE14:AH21 R20:AC20"/>
    </sheetView>
  </sheetViews>
  <sheetFormatPr baseColWidth="10" defaultColWidth="12.54296875" defaultRowHeight="15" customHeight="1" x14ac:dyDescent="0.35"/>
  <cols>
    <col min="1" max="1" width="7.453125" style="13" customWidth="1"/>
    <col min="2" max="2" width="28.54296875" style="13" customWidth="1"/>
    <col min="3" max="3" width="36" style="13" customWidth="1"/>
    <col min="4" max="4" width="28.54296875" style="13" customWidth="1"/>
    <col min="5" max="5" width="36.453125" style="13" customWidth="1"/>
    <col min="6" max="6" width="28.54296875" style="13" hidden="1" customWidth="1"/>
    <col min="7" max="10" width="28.54296875" style="13" customWidth="1"/>
    <col min="11" max="11" width="24.1796875" style="13" customWidth="1"/>
    <col min="12" max="12" width="19.54296875" style="13" customWidth="1"/>
    <col min="13" max="13" width="28.54296875" style="13" customWidth="1"/>
    <col min="14" max="14" width="18.453125" style="13" customWidth="1"/>
    <col min="15" max="15" width="18.7265625" style="13" customWidth="1"/>
    <col min="16" max="17" width="13.54296875" style="13" customWidth="1"/>
    <col min="18" max="29" width="9.54296875" style="13" customWidth="1"/>
    <col min="30" max="30" width="9.54296875" style="13" hidden="1" customWidth="1"/>
    <col min="31" max="31" width="35.54296875" style="13" customWidth="1"/>
    <col min="32" max="34" width="42.54296875" style="13" customWidth="1"/>
    <col min="35" max="16384" width="12.54296875" style="13"/>
  </cols>
  <sheetData>
    <row r="1" spans="1:34" s="5" customFormat="1" ht="15" customHeight="1" x14ac:dyDescent="0.35">
      <c r="A1" s="337"/>
      <c r="B1" s="338"/>
      <c r="C1" s="339"/>
      <c r="D1" s="346" t="s">
        <v>1360</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row>
    <row r="2" spans="1:34"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row>
    <row r="3" spans="1:34"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row>
    <row r="4" spans="1:34"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row>
    <row r="5" spans="1:34"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row>
    <row r="6" spans="1:34" ht="20.149999999999999" customHeight="1" x14ac:dyDescent="0.35">
      <c r="A6" s="295" t="s">
        <v>13</v>
      </c>
      <c r="B6" s="297"/>
      <c r="C6" s="423" t="s">
        <v>92</v>
      </c>
      <c r="D6" s="423"/>
      <c r="E6" s="295" t="s">
        <v>15</v>
      </c>
      <c r="F6" s="297"/>
      <c r="G6" s="455">
        <f>+P15+P17+P19+P21</f>
        <v>1</v>
      </c>
      <c r="H6" s="295" t="s">
        <v>209</v>
      </c>
      <c r="I6" s="297"/>
      <c r="J6" s="489">
        <f>+P14+P16+P18+P20/M6</f>
        <v>6.25E-2</v>
      </c>
      <c r="K6" s="295" t="s">
        <v>17</v>
      </c>
      <c r="L6" s="297"/>
      <c r="M6" s="443">
        <v>1</v>
      </c>
      <c r="N6" s="295" t="s">
        <v>1361</v>
      </c>
      <c r="O6" s="297"/>
      <c r="P6" s="325">
        <f>(SUM(R14:W14,R16:W16,R18:W18,R20:W20)/SUM(R15:W15,R17:W17,R19:W19,R21:W21)/M6)</f>
        <v>0.125</v>
      </c>
      <c r="Q6" s="305"/>
      <c r="R6" s="295" t="s">
        <v>1362</v>
      </c>
      <c r="S6" s="296"/>
      <c r="T6" s="296"/>
      <c r="U6" s="297"/>
      <c r="V6" s="304">
        <f>SUM(X14:AC14,X16:AC16,X18:AC18,X20:AD20)/SUM(X15:AC15,X17:AD17,X19:AD19,X21:AD21)/M6</f>
        <v>0</v>
      </c>
      <c r="W6" s="325"/>
      <c r="X6" s="325"/>
      <c r="Y6" s="305"/>
      <c r="Z6" s="295"/>
      <c r="AA6" s="296"/>
      <c r="AB6" s="296"/>
      <c r="AC6" s="296"/>
      <c r="AD6" s="296"/>
      <c r="AE6" s="296"/>
      <c r="AF6" s="296"/>
      <c r="AG6" s="296"/>
      <c r="AH6" s="296"/>
    </row>
    <row r="7" spans="1:34" ht="15" customHeight="1" x14ac:dyDescent="0.35">
      <c r="A7" s="298"/>
      <c r="B7" s="300"/>
      <c r="C7" s="423"/>
      <c r="D7" s="423"/>
      <c r="E7" s="298"/>
      <c r="F7" s="300"/>
      <c r="G7" s="456"/>
      <c r="H7" s="298"/>
      <c r="I7" s="300"/>
      <c r="J7" s="490"/>
      <c r="K7" s="298"/>
      <c r="L7" s="300"/>
      <c r="M7" s="444"/>
      <c r="N7" s="298"/>
      <c r="O7" s="300"/>
      <c r="P7" s="326"/>
      <c r="Q7" s="307"/>
      <c r="R7" s="298"/>
      <c r="S7" s="299"/>
      <c r="T7" s="299"/>
      <c r="U7" s="300"/>
      <c r="V7" s="306"/>
      <c r="W7" s="326"/>
      <c r="X7" s="326"/>
      <c r="Y7" s="307"/>
      <c r="Z7" s="298"/>
      <c r="AA7" s="299"/>
      <c r="AB7" s="299"/>
      <c r="AC7" s="299"/>
      <c r="AD7" s="299"/>
      <c r="AE7" s="299"/>
      <c r="AF7" s="299"/>
      <c r="AG7" s="299"/>
      <c r="AH7" s="299"/>
    </row>
    <row r="8" spans="1:34" ht="25.4" customHeight="1" x14ac:dyDescent="0.35">
      <c r="A8" s="298"/>
      <c r="B8" s="300"/>
      <c r="C8" s="423"/>
      <c r="D8" s="423"/>
      <c r="E8" s="298"/>
      <c r="F8" s="300"/>
      <c r="G8" s="456"/>
      <c r="H8" s="298"/>
      <c r="I8" s="300"/>
      <c r="J8" s="490"/>
      <c r="K8" s="298"/>
      <c r="L8" s="300"/>
      <c r="M8" s="444"/>
      <c r="N8" s="298"/>
      <c r="O8" s="300"/>
      <c r="P8" s="326"/>
      <c r="Q8" s="307"/>
      <c r="R8" s="298"/>
      <c r="S8" s="299"/>
      <c r="T8" s="299"/>
      <c r="U8" s="300"/>
      <c r="V8" s="306"/>
      <c r="W8" s="326"/>
      <c r="X8" s="326"/>
      <c r="Y8" s="307"/>
      <c r="Z8" s="298"/>
      <c r="AA8" s="299"/>
      <c r="AB8" s="299"/>
      <c r="AC8" s="299"/>
      <c r="AD8" s="299"/>
      <c r="AE8" s="299"/>
      <c r="AF8" s="299"/>
      <c r="AG8" s="299"/>
      <c r="AH8" s="299"/>
    </row>
    <row r="9" spans="1:34" ht="25.4" customHeight="1" x14ac:dyDescent="0.35">
      <c r="A9" s="298"/>
      <c r="B9" s="300"/>
      <c r="C9" s="423"/>
      <c r="D9" s="423"/>
      <c r="E9" s="298"/>
      <c r="F9" s="300"/>
      <c r="G9" s="456"/>
      <c r="H9" s="298"/>
      <c r="I9" s="300"/>
      <c r="J9" s="490"/>
      <c r="K9" s="298"/>
      <c r="L9" s="300"/>
      <c r="M9" s="444"/>
      <c r="N9" s="298"/>
      <c r="O9" s="300"/>
      <c r="P9" s="326"/>
      <c r="Q9" s="307"/>
      <c r="R9" s="298"/>
      <c r="S9" s="299"/>
      <c r="T9" s="299"/>
      <c r="U9" s="300"/>
      <c r="V9" s="306"/>
      <c r="W9" s="326"/>
      <c r="X9" s="326"/>
      <c r="Y9" s="307"/>
      <c r="Z9" s="298"/>
      <c r="AA9" s="299"/>
      <c r="AB9" s="299"/>
      <c r="AC9" s="299"/>
      <c r="AD9" s="299"/>
      <c r="AE9" s="299"/>
      <c r="AF9" s="299"/>
      <c r="AG9" s="299"/>
      <c r="AH9" s="299"/>
    </row>
    <row r="10" spans="1:34" ht="15" customHeight="1" thickBot="1" x14ac:dyDescent="0.4">
      <c r="A10" s="467"/>
      <c r="B10" s="468"/>
      <c r="C10" s="423"/>
      <c r="D10" s="423"/>
      <c r="E10" s="467"/>
      <c r="F10" s="468"/>
      <c r="G10" s="457"/>
      <c r="H10" s="467"/>
      <c r="I10" s="468"/>
      <c r="J10" s="491"/>
      <c r="K10" s="467"/>
      <c r="L10" s="468"/>
      <c r="M10" s="445"/>
      <c r="N10" s="467"/>
      <c r="O10" s="468"/>
      <c r="P10" s="327"/>
      <c r="Q10" s="309"/>
      <c r="R10" s="301"/>
      <c r="S10" s="302"/>
      <c r="T10" s="302"/>
      <c r="U10" s="303"/>
      <c r="V10" s="308"/>
      <c r="W10" s="327"/>
      <c r="X10" s="327"/>
      <c r="Y10" s="309"/>
      <c r="Z10" s="301"/>
      <c r="AA10" s="302"/>
      <c r="AB10" s="302"/>
      <c r="AC10" s="302"/>
      <c r="AD10" s="302"/>
      <c r="AE10" s="302"/>
      <c r="AF10" s="302"/>
      <c r="AG10" s="302"/>
      <c r="AH10" s="302"/>
    </row>
    <row r="11" spans="1:34" s="14" customFormat="1" ht="40.4" customHeight="1" thickBot="1" x14ac:dyDescent="0.4">
      <c r="A11" s="313" t="s">
        <v>21</v>
      </c>
      <c r="B11" s="313"/>
      <c r="C11" s="313"/>
      <c r="D11" s="313"/>
      <c r="E11" s="313"/>
      <c r="F11" s="314"/>
      <c r="G11" s="437" t="s">
        <v>22</v>
      </c>
      <c r="H11" s="438"/>
      <c r="I11" s="438"/>
      <c r="J11" s="438"/>
      <c r="K11" s="438"/>
      <c r="L11" s="438"/>
      <c r="M11" s="438"/>
      <c r="N11" s="438"/>
      <c r="O11" s="486" t="s">
        <v>23</v>
      </c>
      <c r="P11" s="487"/>
      <c r="Q11" s="487"/>
      <c r="R11" s="487"/>
      <c r="S11" s="487"/>
      <c r="T11" s="487"/>
      <c r="U11" s="487"/>
      <c r="V11" s="487"/>
      <c r="W11" s="487"/>
      <c r="X11" s="487"/>
      <c r="Y11" s="487"/>
      <c r="Z11" s="487"/>
      <c r="AA11" s="487"/>
      <c r="AB11" s="487"/>
      <c r="AC11" s="487"/>
      <c r="AD11" s="488"/>
      <c r="AE11" s="320" t="s">
        <v>24</v>
      </c>
      <c r="AF11" s="321"/>
      <c r="AG11" s="321"/>
      <c r="AH11" s="321"/>
    </row>
    <row r="12" spans="1:34" ht="39" customHeight="1" x14ac:dyDescent="0.35">
      <c r="A12" s="286" t="s">
        <v>25</v>
      </c>
      <c r="B12" s="294" t="s">
        <v>26</v>
      </c>
      <c r="C12" s="294" t="s">
        <v>27</v>
      </c>
      <c r="D12" s="294" t="s">
        <v>28</v>
      </c>
      <c r="E12" s="294" t="s">
        <v>29</v>
      </c>
      <c r="F12" s="294" t="s">
        <v>30</v>
      </c>
      <c r="G12" s="294" t="s">
        <v>31</v>
      </c>
      <c r="H12" s="286" t="s">
        <v>282</v>
      </c>
      <c r="I12" s="286" t="s">
        <v>33</v>
      </c>
      <c r="J12" s="286" t="s">
        <v>34</v>
      </c>
      <c r="K12" s="286" t="s">
        <v>35</v>
      </c>
      <c r="L12" s="286" t="s">
        <v>36</v>
      </c>
      <c r="M12" s="286" t="s">
        <v>37</v>
      </c>
      <c r="N12" s="294" t="s">
        <v>38</v>
      </c>
      <c r="O12" s="310" t="s">
        <v>39</v>
      </c>
      <c r="P12" s="311" t="s">
        <v>40</v>
      </c>
      <c r="Q12" s="312" t="s">
        <v>41</v>
      </c>
      <c r="R12" s="291" t="s">
        <v>42</v>
      </c>
      <c r="S12" s="291" t="s">
        <v>43</v>
      </c>
      <c r="T12" s="291" t="s">
        <v>44</v>
      </c>
      <c r="U12" s="291" t="s">
        <v>45</v>
      </c>
      <c r="V12" s="291" t="s">
        <v>46</v>
      </c>
      <c r="W12" s="291" t="s">
        <v>47</v>
      </c>
      <c r="X12" s="291" t="s">
        <v>47</v>
      </c>
      <c r="Y12" s="291" t="s">
        <v>49</v>
      </c>
      <c r="Z12" s="291" t="s">
        <v>50</v>
      </c>
      <c r="AA12" s="291" t="s">
        <v>51</v>
      </c>
      <c r="AB12" s="291" t="s">
        <v>52</v>
      </c>
      <c r="AC12" s="291" t="s">
        <v>53</v>
      </c>
      <c r="AD12" s="392" t="s">
        <v>54</v>
      </c>
      <c r="AE12" s="435" t="s">
        <v>216</v>
      </c>
      <c r="AF12" s="394" t="s">
        <v>217</v>
      </c>
      <c r="AG12" s="394" t="s">
        <v>218</v>
      </c>
      <c r="AH12" s="396" t="s">
        <v>219</v>
      </c>
    </row>
    <row r="13" spans="1:34"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392"/>
      <c r="AE13" s="436"/>
      <c r="AF13" s="395"/>
      <c r="AG13" s="395"/>
      <c r="AH13" s="397"/>
    </row>
    <row r="14" spans="1:34" ht="85" customHeight="1" thickBot="1" x14ac:dyDescent="0.4">
      <c r="A14" s="262">
        <v>1</v>
      </c>
      <c r="B14" s="262" t="s">
        <v>70</v>
      </c>
      <c r="C14" s="262" t="s">
        <v>89</v>
      </c>
      <c r="D14" s="262" t="s">
        <v>90</v>
      </c>
      <c r="E14" s="262" t="s">
        <v>91</v>
      </c>
      <c r="F14" s="280"/>
      <c r="G14" s="262" t="s">
        <v>92</v>
      </c>
      <c r="H14" s="262" t="s">
        <v>1363</v>
      </c>
      <c r="I14" s="262" t="s">
        <v>1364</v>
      </c>
      <c r="J14" s="275" t="s">
        <v>1365</v>
      </c>
      <c r="K14" s="275" t="s">
        <v>224</v>
      </c>
      <c r="L14" s="275" t="s">
        <v>67</v>
      </c>
      <c r="M14" s="278">
        <v>45292</v>
      </c>
      <c r="N14" s="278">
        <v>45657</v>
      </c>
      <c r="O14" s="15" t="s">
        <v>68</v>
      </c>
      <c r="P14" s="16">
        <f>+(P15*Q14)</f>
        <v>6.25E-2</v>
      </c>
      <c r="Q14" s="17">
        <f>SUM(R14:AC14)</f>
        <v>0.25</v>
      </c>
      <c r="R14" s="18"/>
      <c r="S14" s="18"/>
      <c r="T14" s="18">
        <v>0.25</v>
      </c>
      <c r="U14" s="18"/>
      <c r="V14" s="18"/>
      <c r="W14" s="18"/>
      <c r="X14" s="18"/>
      <c r="Y14" s="19"/>
      <c r="Z14" s="19"/>
      <c r="AA14" s="19"/>
      <c r="AB14" s="19"/>
      <c r="AC14" s="19"/>
      <c r="AD14" s="26"/>
      <c r="AE14" s="428" t="s">
        <v>1366</v>
      </c>
      <c r="AF14" s="428"/>
      <c r="AG14" s="428"/>
      <c r="AH14" s="428"/>
    </row>
    <row r="15" spans="1:34" ht="85" customHeight="1" thickBot="1" x14ac:dyDescent="0.4">
      <c r="A15" s="263"/>
      <c r="B15" s="263"/>
      <c r="C15" s="263"/>
      <c r="D15" s="263"/>
      <c r="E15" s="263"/>
      <c r="F15" s="290"/>
      <c r="G15" s="263"/>
      <c r="H15" s="263"/>
      <c r="I15" s="263"/>
      <c r="J15" s="277"/>
      <c r="K15" s="277"/>
      <c r="L15" s="277"/>
      <c r="M15" s="277"/>
      <c r="N15" s="277"/>
      <c r="O15" s="15" t="s">
        <v>69</v>
      </c>
      <c r="P15" s="21">
        <f>100%/4</f>
        <v>0.25</v>
      </c>
      <c r="Q15" s="17">
        <f>SUM(R15:AC15)</f>
        <v>1</v>
      </c>
      <c r="R15" s="22"/>
      <c r="S15" s="22"/>
      <c r="T15" s="22">
        <v>0.25</v>
      </c>
      <c r="U15" s="22"/>
      <c r="V15" s="22"/>
      <c r="W15" s="22">
        <v>0.25</v>
      </c>
      <c r="X15" s="22"/>
      <c r="Y15" s="22"/>
      <c r="Z15" s="22">
        <v>0.25</v>
      </c>
      <c r="AA15" s="22"/>
      <c r="AB15" s="22"/>
      <c r="AC15" s="22">
        <v>0.25</v>
      </c>
      <c r="AD15" s="26"/>
      <c r="AE15" s="429"/>
      <c r="AF15" s="429"/>
      <c r="AG15" s="429"/>
      <c r="AH15" s="429"/>
    </row>
    <row r="16" spans="1:34" ht="85" customHeight="1" thickBot="1" x14ac:dyDescent="0.4">
      <c r="A16" s="262">
        <v>2</v>
      </c>
      <c r="B16" s="262" t="s">
        <v>70</v>
      </c>
      <c r="C16" s="262" t="s">
        <v>89</v>
      </c>
      <c r="D16" s="262" t="s">
        <v>90</v>
      </c>
      <c r="E16" s="262" t="s">
        <v>91</v>
      </c>
      <c r="F16" s="280"/>
      <c r="G16" s="262" t="s">
        <v>92</v>
      </c>
      <c r="H16" s="480" t="s">
        <v>1367</v>
      </c>
      <c r="I16" s="480" t="s">
        <v>1368</v>
      </c>
      <c r="J16" s="275" t="s">
        <v>1365</v>
      </c>
      <c r="K16" s="484" t="s">
        <v>1369</v>
      </c>
      <c r="L16" s="275" t="s">
        <v>133</v>
      </c>
      <c r="M16" s="278">
        <v>45292</v>
      </c>
      <c r="N16" s="278">
        <v>45657</v>
      </c>
      <c r="O16" s="15" t="s">
        <v>68</v>
      </c>
      <c r="P16" s="16">
        <f>+(P17*Q16)</f>
        <v>0</v>
      </c>
      <c r="Q16" s="17">
        <f t="shared" ref="Q16:Q21" si="0">SUM(R16:AD16)</f>
        <v>0</v>
      </c>
      <c r="R16" s="18"/>
      <c r="S16" s="18"/>
      <c r="T16" s="18"/>
      <c r="U16" s="18"/>
      <c r="V16" s="18"/>
      <c r="W16" s="18"/>
      <c r="X16" s="18"/>
      <c r="Y16" s="18"/>
      <c r="Z16" s="19"/>
      <c r="AA16" s="19"/>
      <c r="AB16" s="19"/>
      <c r="AC16" s="19"/>
      <c r="AD16" s="19"/>
      <c r="AE16" s="361"/>
      <c r="AF16" s="428"/>
      <c r="AG16" s="475"/>
      <c r="AH16" s="428"/>
    </row>
    <row r="17" spans="1:34" ht="85" customHeight="1" thickBot="1" x14ac:dyDescent="0.4">
      <c r="A17" s="263"/>
      <c r="B17" s="263"/>
      <c r="C17" s="263"/>
      <c r="D17" s="263"/>
      <c r="E17" s="263"/>
      <c r="F17" s="281"/>
      <c r="G17" s="263"/>
      <c r="H17" s="481"/>
      <c r="I17" s="481"/>
      <c r="J17" s="277"/>
      <c r="K17" s="485"/>
      <c r="L17" s="277"/>
      <c r="M17" s="277"/>
      <c r="N17" s="277"/>
      <c r="O17" s="15" t="s">
        <v>69</v>
      </c>
      <c r="P17" s="21">
        <f>100%/4</f>
        <v>0.25</v>
      </c>
      <c r="Q17" s="17">
        <f t="shared" si="0"/>
        <v>1</v>
      </c>
      <c r="R17" s="22"/>
      <c r="S17" s="22"/>
      <c r="T17" s="22"/>
      <c r="U17" s="22"/>
      <c r="V17" s="22"/>
      <c r="W17" s="22">
        <v>0.5</v>
      </c>
      <c r="X17" s="22"/>
      <c r="Y17" s="22"/>
      <c r="Z17" s="22"/>
      <c r="AA17" s="22"/>
      <c r="AB17" s="22"/>
      <c r="AC17" s="22">
        <v>0.5</v>
      </c>
      <c r="AD17" s="22"/>
      <c r="AE17" s="362"/>
      <c r="AF17" s="429"/>
      <c r="AG17" s="476"/>
      <c r="AH17" s="429"/>
    </row>
    <row r="18" spans="1:34" ht="85" customHeight="1" thickBot="1" x14ac:dyDescent="0.4">
      <c r="A18" s="262">
        <v>3</v>
      </c>
      <c r="B18" s="262" t="s">
        <v>70</v>
      </c>
      <c r="C18" s="262" t="s">
        <v>89</v>
      </c>
      <c r="D18" s="262" t="s">
        <v>90</v>
      </c>
      <c r="E18" s="262" t="s">
        <v>91</v>
      </c>
      <c r="F18" s="280"/>
      <c r="G18" s="262" t="s">
        <v>92</v>
      </c>
      <c r="H18" s="480" t="s">
        <v>1370</v>
      </c>
      <c r="I18" s="480" t="s">
        <v>1371</v>
      </c>
      <c r="J18" s="275" t="s">
        <v>1365</v>
      </c>
      <c r="K18" s="482" t="s">
        <v>1372</v>
      </c>
      <c r="L18" s="275" t="s">
        <v>133</v>
      </c>
      <c r="M18" s="278">
        <v>45292</v>
      </c>
      <c r="N18" s="278">
        <v>45657</v>
      </c>
      <c r="O18" s="15" t="s">
        <v>68</v>
      </c>
      <c r="P18" s="16">
        <f>+(P19*Q18)</f>
        <v>0</v>
      </c>
      <c r="Q18" s="17">
        <f t="shared" si="0"/>
        <v>0</v>
      </c>
      <c r="R18" s="18"/>
      <c r="S18" s="18"/>
      <c r="T18" s="18"/>
      <c r="U18" s="18"/>
      <c r="V18" s="18"/>
      <c r="W18" s="18"/>
      <c r="X18" s="18"/>
      <c r="Y18" s="18"/>
      <c r="Z18" s="19"/>
      <c r="AA18" s="19"/>
      <c r="AB18" s="19"/>
      <c r="AC18" s="19"/>
      <c r="AD18" s="19"/>
      <c r="AE18" s="361"/>
      <c r="AF18" s="428"/>
      <c r="AG18" s="475"/>
      <c r="AH18" s="475"/>
    </row>
    <row r="19" spans="1:34" ht="85" customHeight="1" thickBot="1" x14ac:dyDescent="0.4">
      <c r="A19" s="263"/>
      <c r="B19" s="263"/>
      <c r="C19" s="263"/>
      <c r="D19" s="263"/>
      <c r="E19" s="263"/>
      <c r="F19" s="281"/>
      <c r="G19" s="263"/>
      <c r="H19" s="481"/>
      <c r="I19" s="481"/>
      <c r="J19" s="277"/>
      <c r="K19" s="483"/>
      <c r="L19" s="277"/>
      <c r="M19" s="277"/>
      <c r="N19" s="277"/>
      <c r="O19" s="15" t="s">
        <v>69</v>
      </c>
      <c r="P19" s="21">
        <f>100%/4</f>
        <v>0.25</v>
      </c>
      <c r="Q19" s="17">
        <f t="shared" si="0"/>
        <v>1</v>
      </c>
      <c r="R19" s="22"/>
      <c r="S19" s="22"/>
      <c r="T19" s="22"/>
      <c r="U19" s="22"/>
      <c r="V19" s="22"/>
      <c r="W19" s="22">
        <v>0.5</v>
      </c>
      <c r="X19" s="22"/>
      <c r="Y19" s="22"/>
      <c r="Z19" s="22"/>
      <c r="AA19" s="22"/>
      <c r="AB19" s="22"/>
      <c r="AC19" s="22">
        <v>0.5</v>
      </c>
      <c r="AD19" s="22"/>
      <c r="AE19" s="362"/>
      <c r="AF19" s="429"/>
      <c r="AG19" s="476"/>
      <c r="AH19" s="476"/>
    </row>
    <row r="20" spans="1:34" ht="85" customHeight="1" thickBot="1" x14ac:dyDescent="0.4">
      <c r="A20" s="262">
        <v>4</v>
      </c>
      <c r="B20" s="262" t="s">
        <v>70</v>
      </c>
      <c r="C20" s="262" t="s">
        <v>89</v>
      </c>
      <c r="D20" s="262" t="s">
        <v>90</v>
      </c>
      <c r="E20" s="262" t="s">
        <v>91</v>
      </c>
      <c r="F20" s="280"/>
      <c r="G20" s="262" t="s">
        <v>92</v>
      </c>
      <c r="H20" s="477" t="s">
        <v>1373</v>
      </c>
      <c r="I20" s="262" t="s">
        <v>1374</v>
      </c>
      <c r="J20" s="275" t="s">
        <v>1365</v>
      </c>
      <c r="K20" s="478" t="s">
        <v>1375</v>
      </c>
      <c r="L20" s="275" t="s">
        <v>133</v>
      </c>
      <c r="M20" s="278">
        <v>45292</v>
      </c>
      <c r="N20" s="278">
        <v>45657</v>
      </c>
      <c r="O20" s="15" t="s">
        <v>68</v>
      </c>
      <c r="P20" s="16">
        <f>+(P21*Q20)</f>
        <v>0</v>
      </c>
      <c r="Q20" s="17">
        <f t="shared" si="0"/>
        <v>0</v>
      </c>
      <c r="R20" s="18"/>
      <c r="S20" s="18"/>
      <c r="T20" s="18"/>
      <c r="U20" s="18"/>
      <c r="V20" s="18"/>
      <c r="W20" s="18"/>
      <c r="X20" s="18"/>
      <c r="Y20" s="19"/>
      <c r="Z20" s="19"/>
      <c r="AA20" s="19"/>
      <c r="AB20" s="19"/>
      <c r="AC20" s="19"/>
      <c r="AD20" s="19"/>
      <c r="AE20" s="428"/>
      <c r="AF20" s="428"/>
      <c r="AG20" s="475"/>
      <c r="AH20" s="475"/>
    </row>
    <row r="21" spans="1:34" ht="85" customHeight="1" x14ac:dyDescent="0.35">
      <c r="A21" s="263"/>
      <c r="B21" s="263"/>
      <c r="C21" s="263"/>
      <c r="D21" s="263"/>
      <c r="E21" s="263"/>
      <c r="F21" s="281"/>
      <c r="G21" s="263"/>
      <c r="H21" s="477"/>
      <c r="I21" s="263"/>
      <c r="J21" s="277"/>
      <c r="K21" s="479"/>
      <c r="L21" s="277"/>
      <c r="M21" s="277"/>
      <c r="N21" s="277"/>
      <c r="O21" s="15" t="s">
        <v>69</v>
      </c>
      <c r="P21" s="21">
        <f>100%/4</f>
        <v>0.25</v>
      </c>
      <c r="Q21" s="17">
        <f t="shared" si="0"/>
        <v>1</v>
      </c>
      <c r="R21" s="22"/>
      <c r="S21" s="22"/>
      <c r="T21" s="22"/>
      <c r="U21" s="22"/>
      <c r="V21" s="22"/>
      <c r="W21" s="22">
        <v>0.5</v>
      </c>
      <c r="X21" s="22"/>
      <c r="Y21" s="22"/>
      <c r="Z21" s="22"/>
      <c r="AA21" s="22"/>
      <c r="AB21" s="22"/>
      <c r="AC21" s="22">
        <v>0.5</v>
      </c>
      <c r="AD21" s="22"/>
      <c r="AE21" s="429"/>
      <c r="AF21" s="429"/>
      <c r="AG21" s="476"/>
      <c r="AH21" s="476"/>
    </row>
    <row r="23" spans="1:34" ht="30" hidden="1" customHeight="1" x14ac:dyDescent="0.35">
      <c r="D23" s="264" t="s">
        <v>17</v>
      </c>
      <c r="E23" s="264"/>
      <c r="F23" s="30">
        <v>1</v>
      </c>
      <c r="H23" s="432" t="s">
        <v>305</v>
      </c>
      <c r="I23" s="31" t="s">
        <v>107</v>
      </c>
      <c r="J23" s="32" t="e">
        <f>SUM(O23:AC23)</f>
        <v>#REF!</v>
      </c>
      <c r="K23" s="33"/>
      <c r="L23" s="33"/>
      <c r="M23" s="33"/>
      <c r="N23" s="33"/>
      <c r="O23" s="33" t="e">
        <f>+(AB14*$P$15)+(AC16*$P$17)+(AC18*$P$19)+(AC20*$P$21)+(#REF!*#REF!)+(#REF!*#REF!)+(#REF!*#REF!)+(#REF!*#REF!)+(#REF!*#REF!)+(#REF!*#REF!)+(#REF!*#REF!)+(#REF!*#REF!)+(#REF!*#REF!)</f>
        <v>#REF!</v>
      </c>
      <c r="P23" s="34" t="e">
        <f>+(#REF!*$P$15)+(#REF!*$P$17)+(#REF!*$P$19)+(#REF!*$P$21)+(#REF!*#REF!)+(#REF!*#REF!)+(#REF!*#REF!)+(#REF!*#REF!)+(#REF!*#REF!)+(#REF!*#REF!)+(#REF!*#REF!)+(#REF!*#REF!)+(#REF!*#REF!)</f>
        <v>#REF!</v>
      </c>
      <c r="Q23" s="33" t="e">
        <f>+(#REF!*$P$15)+(#REF!*$P$17)+(#REF!*$P$19)+(#REF!*$P$21)+(#REF!*#REF!)+(#REF!*#REF!)+(#REF!*#REF!)+(#REF!*#REF!)+(#REF!*#REF!)+(#REF!*#REF!)+(#REF!*#REF!)+(#REF!*#REF!)+(#REF!*#REF!)</f>
        <v>#REF!</v>
      </c>
      <c r="R23" s="33" t="e">
        <f>+(#REF!*$P$15)+(#REF!*$P$17)+(#REF!*$P$19)+(#REF!*$P$21)+(#REF!*#REF!)+(#REF!*#REF!)+(#REF!*#REF!)+(#REF!*#REF!)+(#REF!*#REF!)+(#REF!*#REF!)+(#REF!*#REF!)+(#REF!*#REF!)+(#REF!*#REF!)</f>
        <v>#REF!</v>
      </c>
      <c r="S23" s="33" t="e">
        <f>+(#REF!*$P$15)+(#REF!*$P$17)+(#REF!*$P$19)+(#REF!*$P$21)+(#REF!*#REF!)+(#REF!*#REF!)+(#REF!*#REF!)+(#REF!*#REF!)+(#REF!*#REF!)+(#REF!*#REF!)+(#REF!*#REF!)+(#REF!*#REF!)+(#REF!*#REF!)</f>
        <v>#REF!</v>
      </c>
      <c r="T23" s="33" t="e">
        <f>+(#REF!*$P$15)+(#REF!*$P$17)+(#REF!*$P$19)+(#REF!*$P$21)+(#REF!*#REF!)+(#REF!*#REF!)+(#REF!*#REF!)+(#REF!*#REF!)+(#REF!*#REF!)+(#REF!*#REF!)+(#REF!*#REF!)+(#REF!*#REF!)+(#REF!*#REF!)</f>
        <v>#REF!</v>
      </c>
      <c r="U23" s="33" t="e">
        <f>+(#REF!*$P$15)+(#REF!*$P$17)+(#REF!*$P$19)+(#REF!*$P$21)+(#REF!*#REF!)+(#REF!*#REF!)+(#REF!*#REF!)+(#REF!*#REF!)+(#REF!*#REF!)+(#REF!*#REF!)+(#REF!*#REF!)+(#REF!*#REF!)+(#REF!*#REF!)</f>
        <v>#REF!</v>
      </c>
      <c r="V23" s="33" t="e">
        <f>+(#REF!*$P$15)+(#REF!*$P$17)+(#REF!*$P$19)+(#REF!*$P$21)+(#REF!*#REF!)+(#REF!*#REF!)+(#REF!*#REF!)+(#REF!*#REF!)+(#REF!*#REF!)+(#REF!*#REF!)+(#REF!*#REF!)+(#REF!*#REF!)+(#REF!*#REF!)</f>
        <v>#REF!</v>
      </c>
      <c r="W23" s="33" t="e">
        <f>+(#REF!*$P$15)+(#REF!*$P$17)+(#REF!*$P$19)+(#REF!*$P$21)+(#REF!*#REF!)+(#REF!*#REF!)+(#REF!*#REF!)+(#REF!*#REF!)+(#REF!*#REF!)+(#REF!*#REF!)+(#REF!*#REF!)+(#REF!*#REF!)+(#REF!*#REF!)</f>
        <v>#REF!</v>
      </c>
      <c r="X23" s="33" t="e">
        <f>+(#REF!*$P$15)+(#REF!*$P$17)+(#REF!*$P$19)+(#REF!*$P$21)+(#REF!*#REF!)+(#REF!*#REF!)+(#REF!*#REF!)+(#REF!*#REF!)+(#REF!*#REF!)+(#REF!*#REF!)+(#REF!*#REF!)+(#REF!*#REF!)+(#REF!*#REF!)</f>
        <v>#REF!</v>
      </c>
      <c r="Y23" s="33" t="e">
        <f>+(#REF!*$P$15)+(#REF!*$P$17)+(#REF!*$P$19)+(#REF!*$P$21)+(#REF!*#REF!)+(#REF!*#REF!)+(#REF!*#REF!)+(#REF!*#REF!)+(#REF!*#REF!)+(#REF!*#REF!)+(#REF!*#REF!)+(#REF!*#REF!)+(#REF!*#REF!)</f>
        <v>#REF!</v>
      </c>
      <c r="Z23" s="33" t="e">
        <f>+(#REF!*$P$15)+(#REF!*$P$17)+(#REF!*$P$19)+(#REF!*$P$21)+(#REF!*#REF!)+(#REF!*#REF!)+(#REF!*#REF!)+(#REF!*#REF!)+(#REF!*#REF!)+(#REF!*#REF!)+(#REF!*#REF!)+(#REF!*#REF!)+(#REF!*#REF!)</f>
        <v>#REF!</v>
      </c>
      <c r="AA23" s="33" t="e">
        <f>+(#REF!*$P$15)+(#REF!*$P$17)+(#REF!*$P$19)+(#REF!*$P$21)+(#REF!*#REF!)+(#REF!*#REF!)+(#REF!*#REF!)+(#REF!*#REF!)+(#REF!*#REF!)+(#REF!*#REF!)+(#REF!*#REF!)+(#REF!*#REF!)+(#REF!*#REF!)</f>
        <v>#REF!</v>
      </c>
      <c r="AB23" s="34" t="e">
        <f>+(#REF!*$P$15)+(#REF!*$P$17)+(#REF!*$P$19)+(#REF!*$P$21)+(#REF!*#REF!)+(#REF!*#REF!)+(#REF!*#REF!)+(#REF!*#REF!)+(#REF!*#REF!)+(#REF!*#REF!)+(#REF!*#REF!)+(#REF!*#REF!)+(#REF!*#REF!)</f>
        <v>#REF!</v>
      </c>
      <c r="AC23" s="33" t="e">
        <f>+(#REF!*$P$15)+(#REF!*$P$17)+(#REF!*$P$19)+(#REF!*$P$21)+(#REF!*#REF!)+(#REF!*#REF!)+(#REF!*#REF!)+(#REF!*#REF!)+(#REF!*#REF!)+(#REF!*#REF!)+(#REF!*#REF!)+(#REF!*#REF!)+(#REF!*#REF!)</f>
        <v>#REF!</v>
      </c>
      <c r="AD23" s="35"/>
    </row>
    <row r="24" spans="1:34" ht="30" hidden="1" customHeight="1" x14ac:dyDescent="0.35">
      <c r="D24" s="264"/>
      <c r="E24" s="264"/>
      <c r="F24" s="30"/>
      <c r="H24" s="426"/>
      <c r="I24" s="36" t="s">
        <v>108</v>
      </c>
      <c r="J24" s="37"/>
      <c r="K24" s="38"/>
      <c r="L24" s="38"/>
      <c r="M24" s="38"/>
      <c r="N24" s="38"/>
      <c r="O24" s="38" t="e">
        <f>SUM(O23:O23)</f>
        <v>#REF!</v>
      </c>
      <c r="P24" s="39"/>
      <c r="Q24" s="38"/>
      <c r="R24" s="38"/>
      <c r="S24" s="40" t="e">
        <f>SUM(P23:S23)</f>
        <v>#REF!</v>
      </c>
      <c r="T24" s="40"/>
      <c r="U24" s="40"/>
      <c r="V24" s="40"/>
      <c r="W24" s="40" t="e">
        <f>SUM(T23:W23)</f>
        <v>#REF!</v>
      </c>
      <c r="X24" s="40"/>
      <c r="Y24" s="40"/>
      <c r="Z24" s="40"/>
      <c r="AA24" s="40" t="e">
        <f>SUM(X23:AA23)</f>
        <v>#REF!</v>
      </c>
      <c r="AB24" s="41"/>
      <c r="AC24" s="40"/>
      <c r="AD24" s="42"/>
    </row>
    <row r="25" spans="1:34" ht="30" hidden="1" customHeight="1" x14ac:dyDescent="0.35">
      <c r="H25" s="426"/>
      <c r="I25" s="36" t="s">
        <v>109</v>
      </c>
      <c r="J25" s="43"/>
      <c r="K25" s="38"/>
      <c r="L25" s="38"/>
      <c r="M25" s="38"/>
      <c r="N25" s="38"/>
      <c r="O25" s="38" t="e">
        <f>+#REF!+O24</f>
        <v>#REF!</v>
      </c>
      <c r="P25" s="39"/>
      <c r="Q25" s="38"/>
      <c r="R25" s="38"/>
      <c r="S25" s="44"/>
      <c r="T25" s="40"/>
      <c r="U25" s="40"/>
      <c r="V25" s="40"/>
      <c r="W25" s="40"/>
      <c r="X25" s="40"/>
      <c r="Y25" s="40"/>
      <c r="Z25" s="40"/>
      <c r="AA25" s="40" t="e">
        <f>+S24+W24+AA24</f>
        <v>#REF!</v>
      </c>
      <c r="AB25" s="41"/>
      <c r="AC25" s="40"/>
      <c r="AD25" s="42"/>
    </row>
    <row r="26" spans="1:34" ht="30" hidden="1" customHeight="1" x14ac:dyDescent="0.35">
      <c r="H26" s="427"/>
      <c r="I26" s="45" t="s">
        <v>110</v>
      </c>
      <c r="J26" s="46"/>
      <c r="K26" s="47"/>
      <c r="L26" s="47"/>
      <c r="M26" s="47"/>
      <c r="N26" s="47"/>
      <c r="O26" s="47"/>
      <c r="P26" s="48"/>
      <c r="Q26" s="47"/>
      <c r="R26" s="47"/>
      <c r="S26" s="49"/>
      <c r="T26" s="50"/>
      <c r="U26" s="50"/>
      <c r="V26" s="50"/>
      <c r="W26" s="50"/>
      <c r="X26" s="50"/>
      <c r="Y26" s="50"/>
      <c r="Z26" s="50"/>
      <c r="AA26" s="50" t="e">
        <f>+O25+AA25</f>
        <v>#REF!</v>
      </c>
      <c r="AB26" s="51"/>
      <c r="AC26" s="50"/>
      <c r="AD26" s="42"/>
    </row>
    <row r="27" spans="1:34" ht="30" hidden="1" customHeight="1" x14ac:dyDescent="0.35">
      <c r="H27" s="425" t="s">
        <v>306</v>
      </c>
      <c r="I27" s="36" t="s">
        <v>111</v>
      </c>
      <c r="J27" s="52" t="e">
        <f>SUM(O27:AC27)</f>
        <v>#REF!</v>
      </c>
      <c r="K27" s="38"/>
      <c r="L27" s="38"/>
      <c r="M27" s="38"/>
      <c r="N27" s="38"/>
      <c r="O27" s="38" t="e">
        <f>+(AB15*$P$15)+(AC17*$P$17)+(AC19*$P$19)+(AC21*$P$21)+(#REF!*#REF!)+(#REF!*#REF!)+(#REF!*#REF!)+(#REF!*#REF!)+(#REF!*#REF!)+(#REF!*#REF!)+(#REF!*#REF!)+(#REF!*#REF!)+(#REF!*#REF!)</f>
        <v>#REF!</v>
      </c>
      <c r="P27" s="39" t="e">
        <f>+(#REF!*$P$15)+(#REF!*$P$17)+(#REF!*$P$19)+(#REF!*$P$21)+(#REF!*#REF!)+(#REF!*#REF!)+(#REF!*#REF!)+(#REF!*#REF!)+(#REF!*#REF!)+(#REF!*#REF!)+(#REF!*#REF!)+(#REF!*#REF!)+(#REF!*#REF!)</f>
        <v>#REF!</v>
      </c>
      <c r="Q27" s="38" t="e">
        <f>+(#REF!*$P$15)+(#REF!*$P$17)+(#REF!*$P$19)+(#REF!*$P$21)+(#REF!*#REF!)+(#REF!*#REF!)+(#REF!*#REF!)+(#REF!*#REF!)+(#REF!*#REF!)+(#REF!*#REF!)+(#REF!*#REF!)+(#REF!*#REF!)+(#REF!*#REF!)</f>
        <v>#REF!</v>
      </c>
      <c r="R27" s="38" t="e">
        <f>+(#REF!*$P$15)+(#REF!*$P$17)+(#REF!*$P$19)+(#REF!*$P$21)+(#REF!*#REF!)+(#REF!*#REF!)+(#REF!*#REF!)+(#REF!*#REF!)+(#REF!*#REF!)+(#REF!*#REF!)+(#REF!*#REF!)+(#REF!*#REF!)+(#REF!*#REF!)</f>
        <v>#REF!</v>
      </c>
      <c r="S27" s="38" t="e">
        <f>+(#REF!*$P$15)+(#REF!*$P$17)+(#REF!*$P$19)+(#REF!*$P$21)+(#REF!*#REF!)+(#REF!*#REF!)+(#REF!*#REF!)+(#REF!*#REF!)+(#REF!*#REF!)+(#REF!*#REF!)+(#REF!*#REF!)+(#REF!*#REF!)+(#REF!*#REF!)</f>
        <v>#REF!</v>
      </c>
      <c r="T27" s="38" t="e">
        <f>+(#REF!*$P$15)+(#REF!*$P$17)+(#REF!*$P$19)+(#REF!*$P$21)+(#REF!*#REF!)+(#REF!*#REF!)+(#REF!*#REF!)+(#REF!*#REF!)+(#REF!*#REF!)+(#REF!*#REF!)+(#REF!*#REF!)+(#REF!*#REF!)+(#REF!*#REF!)</f>
        <v>#REF!</v>
      </c>
      <c r="U27" s="38" t="e">
        <f>+(#REF!*$P$15)+(#REF!*$P$17)+(#REF!*$P$19)+(#REF!*$P$21)+(#REF!*#REF!)+(#REF!*#REF!)+(#REF!*#REF!)+(#REF!*#REF!)+(#REF!*#REF!)+(#REF!*#REF!)+(#REF!*#REF!)+(#REF!*#REF!)+(#REF!*#REF!)</f>
        <v>#REF!</v>
      </c>
      <c r="V27" s="38" t="e">
        <f>+(#REF!*$P$15)+(#REF!*$P$17)+(#REF!*$P$19)+(#REF!*$P$21)+(#REF!*#REF!)+(#REF!*#REF!)+(#REF!*#REF!)+(#REF!*#REF!)+(#REF!*#REF!)+(#REF!*#REF!)+(#REF!*#REF!)+(#REF!*#REF!)+(#REF!*#REF!)</f>
        <v>#REF!</v>
      </c>
      <c r="W27" s="38" t="e">
        <f>+(#REF!*$P$15)+(#REF!*$P$17)+(#REF!*$P$19)+(#REF!*$P$21)+(#REF!*#REF!)+(#REF!*#REF!)+(#REF!*#REF!)+(#REF!*#REF!)+(#REF!*#REF!)+(#REF!*#REF!)+(#REF!*#REF!)+(#REF!*#REF!)+(#REF!*#REF!)</f>
        <v>#REF!</v>
      </c>
      <c r="X27" s="38" t="e">
        <f>+(#REF!*$P$15)+(#REF!*$P$17)+(#REF!*$P$19)+(#REF!*$P$21)+(#REF!*#REF!)+(#REF!*#REF!)+(#REF!*#REF!)+(#REF!*#REF!)+(#REF!*#REF!)+(#REF!*#REF!)+(#REF!*#REF!)+(#REF!*#REF!)+(#REF!*#REF!)</f>
        <v>#REF!</v>
      </c>
      <c r="Y27" s="38" t="e">
        <f>+(#REF!*$P$15)+(#REF!*$P$17)+(#REF!*$P$19)+(#REF!*$P$21)+(#REF!*#REF!)+(#REF!*#REF!)+(#REF!*#REF!)+(#REF!*#REF!)+(#REF!*#REF!)+(#REF!*#REF!)+(#REF!*#REF!)+(#REF!*#REF!)+(#REF!*#REF!)</f>
        <v>#REF!</v>
      </c>
      <c r="Z27" s="38" t="e">
        <f>+(#REF!*$P$15)+(#REF!*$P$17)+(#REF!*$P$19)+(#REF!*$P$21)+(#REF!*#REF!)+(#REF!*#REF!)+(#REF!*#REF!)+(#REF!*#REF!)+(#REF!*#REF!)+(#REF!*#REF!)+(#REF!*#REF!)+(#REF!*#REF!)+(#REF!*#REF!)</f>
        <v>#REF!</v>
      </c>
      <c r="AA27" s="38" t="e">
        <f>+(#REF!*$P$15)+(#REF!*$P$17)+(#REF!*$P$19)+(#REF!*$P$21)+(#REF!*#REF!)+(#REF!*#REF!)+(#REF!*#REF!)+(#REF!*#REF!)+(#REF!*#REF!)+(#REF!*#REF!)+(#REF!*#REF!)+(#REF!*#REF!)+(#REF!*#REF!)</f>
        <v>#REF!</v>
      </c>
      <c r="AB27" s="39" t="e">
        <f>+(#REF!*$P$15)+(#REF!*$P$17)+(#REF!*$P$19)+(#REF!*$P$21)+(#REF!*#REF!)+(#REF!*#REF!)+(#REF!*#REF!)+(#REF!*#REF!)+(#REF!*#REF!)+(#REF!*#REF!)+(#REF!*#REF!)+(#REF!*#REF!)+(#REF!*#REF!)</f>
        <v>#REF!</v>
      </c>
      <c r="AC27" s="38" t="e">
        <f>+(#REF!*$P$15)+(#REF!*$P$17)+(#REF!*$P$19)+(#REF!*$P$21)+(#REF!*#REF!)+(#REF!*#REF!)+(#REF!*#REF!)+(#REF!*#REF!)+(#REF!*#REF!)+(#REF!*#REF!)+(#REF!*#REF!)+(#REF!*#REF!)+(#REF!*#REF!)</f>
        <v>#REF!</v>
      </c>
      <c r="AD27" s="35"/>
    </row>
    <row r="28" spans="1:34" ht="30" hidden="1" customHeight="1" x14ac:dyDescent="0.35">
      <c r="H28" s="426"/>
      <c r="I28" s="36" t="s">
        <v>112</v>
      </c>
      <c r="J28" s="53"/>
      <c r="K28" s="38"/>
      <c r="L28" s="38"/>
      <c r="M28" s="38"/>
      <c r="N28" s="38"/>
      <c r="O28" s="38" t="e">
        <f>SUM(O27:O27)</f>
        <v>#REF!</v>
      </c>
      <c r="P28" s="39"/>
      <c r="Q28" s="38"/>
      <c r="R28" s="38"/>
      <c r="S28" s="38" t="e">
        <f>SUM(P27:S27)</f>
        <v>#REF!</v>
      </c>
      <c r="T28" s="38"/>
      <c r="U28" s="38"/>
      <c r="V28" s="38"/>
      <c r="W28" s="38" t="e">
        <f>SUM(T27:W27)</f>
        <v>#REF!</v>
      </c>
      <c r="X28" s="38"/>
      <c r="Y28" s="38"/>
      <c r="Z28" s="38"/>
      <c r="AA28" s="38" t="e">
        <f>SUM(X27:AA27)</f>
        <v>#REF!</v>
      </c>
      <c r="AB28" s="39"/>
      <c r="AC28" s="38"/>
      <c r="AD28" s="35"/>
    </row>
    <row r="29" spans="1:34" ht="30" hidden="1" customHeight="1" x14ac:dyDescent="0.35">
      <c r="H29" s="426"/>
      <c r="I29" s="36" t="s">
        <v>113</v>
      </c>
      <c r="J29" s="43"/>
      <c r="K29" s="38"/>
      <c r="L29" s="38"/>
      <c r="M29" s="38"/>
      <c r="N29" s="38"/>
      <c r="O29" s="38" t="e">
        <f>+#REF!+O28</f>
        <v>#REF!</v>
      </c>
      <c r="P29" s="39"/>
      <c r="Q29" s="38"/>
      <c r="R29" s="38"/>
      <c r="S29" s="44"/>
      <c r="T29" s="40"/>
      <c r="U29" s="40"/>
      <c r="V29" s="40"/>
      <c r="W29" s="40"/>
      <c r="X29" s="40"/>
      <c r="Y29" s="40"/>
      <c r="Z29" s="40"/>
      <c r="AA29" s="40" t="e">
        <f>+S28+W28+AA28</f>
        <v>#REF!</v>
      </c>
      <c r="AB29" s="41"/>
      <c r="AC29" s="40"/>
      <c r="AD29" s="42"/>
    </row>
    <row r="30" spans="1:34" ht="30" hidden="1" customHeight="1" x14ac:dyDescent="0.35">
      <c r="H30" s="427"/>
      <c r="I30" s="54" t="s">
        <v>114</v>
      </c>
      <c r="J30" s="46"/>
      <c r="K30" s="47"/>
      <c r="L30" s="47"/>
      <c r="M30" s="47"/>
      <c r="N30" s="47"/>
      <c r="O30" s="47"/>
      <c r="P30" s="48"/>
      <c r="Q30" s="47"/>
      <c r="R30" s="47"/>
      <c r="S30" s="49"/>
      <c r="T30" s="50"/>
      <c r="U30" s="50"/>
      <c r="V30" s="50"/>
      <c r="W30" s="50"/>
      <c r="X30" s="50"/>
      <c r="Y30" s="50"/>
      <c r="Z30" s="50"/>
      <c r="AA30" s="50" t="e">
        <f>+O29+AA29</f>
        <v>#REF!</v>
      </c>
      <c r="AB30" s="51"/>
      <c r="AC30" s="55"/>
      <c r="AD30" s="42"/>
    </row>
    <row r="31" spans="1:34" ht="30" hidden="1" customHeight="1" x14ac:dyDescent="0.35">
      <c r="H31" s="79"/>
      <c r="I31" s="265" t="s">
        <v>115</v>
      </c>
      <c r="J31" s="265"/>
      <c r="K31" s="56"/>
      <c r="L31" s="56"/>
      <c r="M31" s="56"/>
      <c r="N31" s="56"/>
      <c r="O31" s="57" t="e">
        <f>+(#REF!+#REF!+#REF!+#REF!+#REF!+#REF!+#REF!+O23)/(#REF!+#REF!+#REF!+#REF!+#REF!+#REF!+#REF!+O27)</f>
        <v>#REF!</v>
      </c>
      <c r="P31" s="58" t="e">
        <f>+(#REF!+#REF!+#REF!+#REF!+#REF!+#REF!+#REF!+O23+P23)/(#REF!+#REF!+#REF!+#REF!+#REF!+#REF!+#REF!+O27+P27)</f>
        <v>#REF!</v>
      </c>
      <c r="Q31" s="56" t="e">
        <f>+(#REF!+#REF!+#REF!+#REF!+#REF!+#REF!+#REF!+O23+P23+Q23)/(#REF!+#REF!+#REF!+#REF!+#REF!+#REF!+#REF!+O27+P27+Q27)</f>
        <v>#REF!</v>
      </c>
      <c r="R31" s="56" t="e">
        <f>+(#REF!+#REF!+#REF!+#REF!+#REF!+#REF!+#REF!+O23+P23+Q23+R23)/(#REF!+#REF!+#REF!+#REF!+#REF!+#REF!+#REF!+O27+P27+Q27+R27)</f>
        <v>#REF!</v>
      </c>
      <c r="S31" s="57" t="e">
        <f>+(#REF!+#REF!+#REF!+#REF!+#REF!+#REF!+#REF!+O23+P23+Q23+R23+S23)/(#REF!+#REF!+#REF!+#REF!+#REF!+#REF!+#REF!+O27+P27+Q27+R27+S27)</f>
        <v>#REF!</v>
      </c>
      <c r="T31" s="56" t="e">
        <f>+(#REF!+#REF!+#REF!+#REF!+#REF!+#REF!+#REF!+O23+P23+Q23+R23+S23+T23)/(#REF!+#REF!+#REF!+#REF!+#REF!+#REF!+#REF!+O27+P27+Q27+R27+S27+T27)</f>
        <v>#REF!</v>
      </c>
      <c r="U31" s="56" t="e">
        <f>+(#REF!+#REF!+#REF!+#REF!+#REF!+#REF!+#REF!+O23+P23+Q23+R23+S23+T23+U23)/(#REF!+#REF!+#REF!+#REF!+#REF!+#REF!+#REF!+O27+P27+Q27+R27+S27+T27+U27)</f>
        <v>#REF!</v>
      </c>
      <c r="V31" s="56" t="e">
        <f>+(#REF!+#REF!+#REF!+#REF!+#REF!+#REF!+#REF!+O23+P23+Q23+R23+S23+T23+U23+V23)/(#REF!+#REF!+#REF!+#REF!+#REF!+#REF!+#REF!+O27+P27+Q27+R27+S27+T27+U27+V27)</f>
        <v>#REF!</v>
      </c>
      <c r="W31" s="57" t="e">
        <f>+(#REF!+#REF!+#REF!+#REF!+#REF!+#REF!+#REF!+O23+P23+Q23+R23+S23+T23+U23+V23+W23)/(#REF!+#REF!+#REF!+#REF!+#REF!+#REF!+#REF!+O27+P27+Q27+R27+S27+T27+U27+V27+W27)</f>
        <v>#REF!</v>
      </c>
      <c r="X31" s="56" t="e">
        <f>+(#REF!+#REF!+#REF!+#REF!+#REF!+#REF!+#REF!+O23+P23+Q23+R23+S23+T23+U23+V23+W23+X23)/(#REF!+#REF!+#REF!+#REF!+#REF!+#REF!+#REF!+O27+P27+Q27+R27+S27+T27+U27+V27+W27+X27)</f>
        <v>#REF!</v>
      </c>
      <c r="Y31" s="56" t="e">
        <f>+(#REF!+#REF!+#REF!+#REF!+#REF!+#REF!+#REF!+O23+P23+Q23+R23+S23+T23+U23+V23+W23+X23+Y23)/(#REF!+#REF!+#REF!+#REF!+#REF!+#REF!+#REF!+O27+P27+Q27+R27+S27+T27+U27+V27+W27+X27+Y27)</f>
        <v>#REF!</v>
      </c>
      <c r="Z31" s="56" t="e">
        <f>+(#REF!+#REF!+#REF!+#REF!+#REF!+#REF!+#REF!+O23+P23+Q23+R23+S23+T23+U23+V23+W23+X23+Y23+Z23)/(#REF!+#REF!+#REF!+#REF!+#REF!+#REF!+#REF!+O27+P27+Q27+R27+S27+T27+U27+V27+W27+X27+Y27+Z27)</f>
        <v>#REF!</v>
      </c>
      <c r="AA31" s="57" t="e">
        <f>+(#REF!+#REF!+#REF!+#REF!+#REF!+#REF!+#REF!+O23+P23+Q23+R23+S23+T23+U23+V23+W23+X23+Y23+Z23+AA23)/(#REF!+#REF!+#REF!+#REF!+#REF!+#REF!+#REF!+O27+P27+Q27+R27+S27+T27+U27+V27+W27+X27+Y27+Z27+AA27)</f>
        <v>#REF!</v>
      </c>
      <c r="AB31" s="58" t="e">
        <f>+(#REF!+#REF!+#REF!+#REF!+#REF!+#REF!+#REF!+O23+P23+Q23+R23+S23+T23+U23+V23+W23+X23+Y23+Z23+AA23+AB23)/(#REF!+#REF!+#REF!+#REF!+#REF!+#REF!+#REF!+O27+P27+Q27+R27+S27+T27+U27+V27+W27+X27+Y27+Z27+AA27+AB27)</f>
        <v>#REF!</v>
      </c>
      <c r="AC31" s="56" t="e">
        <f>+(#REF!+#REF!+#REF!+#REF!+#REF!+#REF!+#REF!+O23+P23+Q23+R23+S23+T23+U23+V23+W23+X23+Y23+Z23+AA23+AB23+AC23)/(#REF!+#REF!+#REF!+#REF!+#REF!+#REF!+#REF!+O27+P27+Q27+R27+S27+T27+U27+V27+W27+X27+Y27+Z27+AA27+AB27+AC27)</f>
        <v>#REF!</v>
      </c>
      <c r="AD31" s="59"/>
    </row>
    <row r="32" spans="1:34" ht="30" hidden="1" customHeight="1" x14ac:dyDescent="0.35">
      <c r="H32" s="79"/>
      <c r="I32" s="266" t="s">
        <v>116</v>
      </c>
      <c r="J32" s="266"/>
      <c r="K32" s="57"/>
      <c r="L32" s="57"/>
      <c r="M32" s="57"/>
      <c r="N32" s="57"/>
      <c r="O32" s="57" t="e">
        <f>+(#REF!+#REF!+#REF!+#REF!+#REF!+#REF!+#REF!+O23)/$F$23</f>
        <v>#REF!</v>
      </c>
      <c r="P32" s="60" t="e">
        <f>+(#REF!+#REF!+#REF!+#REF!+#REF!+#REF!+#REF!+O23+P23)/$F$23</f>
        <v>#REF!</v>
      </c>
      <c r="Q32" s="57" t="e">
        <f>+(#REF!+#REF!+#REF!+#REF!+#REF!+#REF!+#REF!+O23+P23+Q23)/$F$23</f>
        <v>#REF!</v>
      </c>
      <c r="R32" s="57" t="e">
        <f>+(#REF!+#REF!+#REF!+#REF!+#REF!+#REF!+#REF!+O23+P23+Q23+R23)/$F$23</f>
        <v>#REF!</v>
      </c>
      <c r="S32" s="57" t="e">
        <f>+(#REF!+#REF!+#REF!+#REF!+#REF!+#REF!+#REF!+O23+P23+Q23+R23+S23)/$F$23</f>
        <v>#REF!</v>
      </c>
      <c r="T32" s="57" t="e">
        <f>+(#REF!+#REF!+#REF!+#REF!+#REF!+#REF!+#REF!+O23+P23+Q23+R23+S23+T23)/$F$23</f>
        <v>#REF!</v>
      </c>
      <c r="U32" s="57" t="e">
        <f>+(#REF!+#REF!+#REF!+#REF!+#REF!+#REF!+#REF!+O23+P23+Q23+R23+S23+T23+U23)/$F$23</f>
        <v>#REF!</v>
      </c>
      <c r="V32" s="57" t="e">
        <f>+(#REF!+#REF!+#REF!+#REF!+#REF!+#REF!+#REF!+O23+P23+Q23+R23+S23+T23+U23+V23)/$F$23</f>
        <v>#REF!</v>
      </c>
      <c r="W32" s="57" t="e">
        <f>+(#REF!+#REF!+#REF!+#REF!+#REF!+#REF!+#REF!+O23+P23+Q23+R23+S23+T23+U23+V23+W23)/$F$23</f>
        <v>#REF!</v>
      </c>
      <c r="X32" s="57" t="e">
        <f>+(#REF!+#REF!+#REF!+#REF!+#REF!+#REF!+#REF!+O23+P23+Q23+R23+S23+T23+U23+V23+W23+X23)/$F$23</f>
        <v>#REF!</v>
      </c>
      <c r="Y32" s="57" t="e">
        <f>+(#REF!+#REF!+#REF!+#REF!+#REF!+#REF!+#REF!+O23+P23+Q23+R23+S23+T23+U23+V23+W23+X23+Y23)/$F$23</f>
        <v>#REF!</v>
      </c>
      <c r="Z32" s="57" t="e">
        <f>+(#REF!+#REF!+#REF!+#REF!+#REF!+#REF!+#REF!+O23+P23+Q23+R23+S23+T23+U23+V23+W23+X23+Y23+Z23)/$F$23</f>
        <v>#REF!</v>
      </c>
      <c r="AA32" s="57" t="e">
        <f>+(#REF!+#REF!+#REF!+#REF!+#REF!+#REF!+#REF!+O23+P23+Q23+R23+S23+T23+U23+V23+W23+X23+Y23+Z23+AA23)/$F$23</f>
        <v>#REF!</v>
      </c>
      <c r="AB32" s="60" t="e">
        <f>+(#REF!+#REF!+#REF!+#REF!+#REF!+#REF!+#REF!+O23+P23+Q23+R23+S23+T23+U23+V23+W23+X23+Y23+Z23+AA23+AB23)/$F$23</f>
        <v>#REF!</v>
      </c>
      <c r="AC32" s="57" t="e">
        <f>+(#REF!+#REF!+#REF!+#REF!+#REF!+#REF!+#REF!+O23+P23+Q23+R23+S23+T23+U23+V23+W23+X23+Y23+Z23+AA23+AB23+AC23)/$F$23</f>
        <v>#REF!</v>
      </c>
      <c r="AD32" s="61"/>
    </row>
    <row r="33" spans="2:30" ht="30" hidden="1" customHeight="1" x14ac:dyDescent="0.35">
      <c r="I33" s="265" t="s">
        <v>117</v>
      </c>
      <c r="J33" s="265"/>
      <c r="K33" s="62"/>
      <c r="L33" s="62"/>
      <c r="M33" s="62"/>
      <c r="N33" s="62"/>
      <c r="O33" s="57" t="e">
        <f>+O24/O28</f>
        <v>#REF!</v>
      </c>
      <c r="P33" s="63"/>
      <c r="Q33" s="62"/>
      <c r="R33" s="62"/>
      <c r="S33" s="57" t="e">
        <f>+S24/S28</f>
        <v>#REF!</v>
      </c>
      <c r="T33" s="62"/>
      <c r="U33" s="62"/>
      <c r="V33" s="62"/>
      <c r="W33" s="57" t="e">
        <f>+W24/W28</f>
        <v>#REF!</v>
      </c>
      <c r="X33" s="62"/>
      <c r="Y33" s="62"/>
      <c r="Z33" s="62"/>
      <c r="AA33" s="57" t="e">
        <f>+AA24/AA28</f>
        <v>#REF!</v>
      </c>
      <c r="AB33" s="63"/>
      <c r="AC33" s="62"/>
      <c r="AD33" s="64"/>
    </row>
    <row r="34" spans="2:30" ht="30" hidden="1" customHeight="1" x14ac:dyDescent="0.35">
      <c r="I34" s="266" t="s">
        <v>118</v>
      </c>
      <c r="J34" s="266"/>
      <c r="K34" s="62"/>
      <c r="L34" s="62"/>
      <c r="M34" s="62"/>
      <c r="N34" s="62"/>
      <c r="O34" s="57" t="e">
        <f>+(#REF!+O24)/$F$23</f>
        <v>#REF!</v>
      </c>
      <c r="P34" s="63"/>
      <c r="Q34" s="62"/>
      <c r="R34" s="62"/>
      <c r="S34" s="57" t="e">
        <f>+(#REF!+O24+S24)/$F$23</f>
        <v>#REF!</v>
      </c>
      <c r="T34" s="62"/>
      <c r="U34" s="62"/>
      <c r="V34" s="62"/>
      <c r="W34" s="57" t="e">
        <f>+(#REF!+O24+S24+W24)/$F$23</f>
        <v>#REF!</v>
      </c>
      <c r="X34" s="62"/>
      <c r="Y34" s="62"/>
      <c r="Z34" s="62"/>
      <c r="AA34" s="57" t="e">
        <f>+(#REF!+O24+S24+W24+AA24)/$F$23</f>
        <v>#REF!</v>
      </c>
      <c r="AB34" s="63"/>
      <c r="AC34" s="62"/>
      <c r="AD34" s="64"/>
    </row>
    <row r="35" spans="2:30" ht="30" hidden="1" customHeight="1" x14ac:dyDescent="0.35">
      <c r="I35" s="265" t="s">
        <v>119</v>
      </c>
      <c r="J35" s="265"/>
      <c r="K35" s="62"/>
      <c r="L35" s="62"/>
      <c r="M35" s="62"/>
      <c r="N35" s="62"/>
      <c r="O35" s="57" t="e">
        <f>+(#REF!+O24)/(#REF!+O28)</f>
        <v>#REF!</v>
      </c>
      <c r="P35" s="63"/>
      <c r="Q35" s="62"/>
      <c r="R35" s="62"/>
      <c r="S35" s="62"/>
      <c r="T35" s="62"/>
      <c r="U35" s="62"/>
      <c r="V35" s="62"/>
      <c r="W35" s="62"/>
      <c r="X35" s="62"/>
      <c r="Y35" s="62"/>
      <c r="Z35" s="62"/>
      <c r="AA35" s="57" t="e">
        <f>+(#REF!+O24+S24+W24+AA24)/(#REF!+O28+S28+W28+AA28)</f>
        <v>#REF!</v>
      </c>
      <c r="AB35" s="63"/>
      <c r="AC35" s="62"/>
      <c r="AD35" s="64"/>
    </row>
    <row r="36" spans="2:30" ht="30" hidden="1" customHeight="1" x14ac:dyDescent="0.35">
      <c r="I36" s="265" t="s">
        <v>120</v>
      </c>
      <c r="J36" s="265"/>
      <c r="K36" s="62"/>
      <c r="L36" s="62"/>
      <c r="M36" s="62"/>
      <c r="N36" s="62"/>
      <c r="O36" s="57" t="e">
        <f>+(#REF!+O24)/$F$23</f>
        <v>#REF!</v>
      </c>
      <c r="P36" s="63"/>
      <c r="Q36" s="62"/>
      <c r="R36" s="62"/>
      <c r="S36" s="62"/>
      <c r="T36" s="62"/>
      <c r="U36" s="62"/>
      <c r="V36" s="62"/>
      <c r="W36" s="62"/>
      <c r="X36" s="62"/>
      <c r="Y36" s="62"/>
      <c r="Z36" s="62"/>
      <c r="AA36" s="57" t="e">
        <f>+(+#REF!+O24+S24+W24+AA24)/$F$23</f>
        <v>#REF!</v>
      </c>
      <c r="AB36" s="63"/>
      <c r="AC36" s="62"/>
      <c r="AD36" s="64"/>
    </row>
    <row r="37" spans="2:30" ht="15" hidden="1" customHeight="1" x14ac:dyDescent="0.35"/>
    <row r="38" spans="2:30" ht="35.15" hidden="1" customHeight="1" x14ac:dyDescent="0.35">
      <c r="H38" s="424" t="s">
        <v>307</v>
      </c>
      <c r="I38" s="424"/>
      <c r="J38" s="66" t="e">
        <f>+#REF!</f>
        <v>#REF!</v>
      </c>
      <c r="K38" s="67"/>
      <c r="L38" s="67"/>
      <c r="M38" s="67"/>
      <c r="N38" s="67"/>
    </row>
    <row r="39" spans="2:30" ht="35.15" hidden="1" customHeight="1" x14ac:dyDescent="0.35">
      <c r="H39" s="424" t="s">
        <v>308</v>
      </c>
      <c r="I39" s="424"/>
      <c r="J39" s="68">
        <f>+F23</f>
        <v>1</v>
      </c>
      <c r="K39" s="67"/>
      <c r="L39" s="67"/>
      <c r="M39" s="67"/>
      <c r="N39" s="67"/>
    </row>
    <row r="40" spans="2:30" ht="35.15" hidden="1" customHeight="1" x14ac:dyDescent="0.35">
      <c r="H40" s="424" t="s">
        <v>309</v>
      </c>
      <c r="I40" s="424"/>
      <c r="J40" s="69" t="e">
        <f>+J38/J39</f>
        <v>#REF!</v>
      </c>
      <c r="K40" s="67"/>
      <c r="L40" s="67"/>
      <c r="M40" s="67"/>
      <c r="N40" s="67"/>
    </row>
    <row r="41" spans="2:30" ht="15" customHeight="1" x14ac:dyDescent="0.35">
      <c r="K41" s="67"/>
      <c r="L41" s="67"/>
      <c r="M41" s="67"/>
      <c r="N41" s="67"/>
    </row>
    <row r="42" spans="2:30" ht="15" hidden="1" customHeight="1" x14ac:dyDescent="0.35">
      <c r="B42" s="270" t="s">
        <v>26</v>
      </c>
      <c r="C42" s="270" t="s">
        <v>27</v>
      </c>
      <c r="D42" s="270" t="s">
        <v>28</v>
      </c>
      <c r="E42" s="270" t="s">
        <v>29</v>
      </c>
      <c r="F42" s="270" t="s">
        <v>30</v>
      </c>
      <c r="G42" s="268" t="s">
        <v>31</v>
      </c>
      <c r="M42" s="268" t="s">
        <v>121</v>
      </c>
      <c r="N42" s="67"/>
    </row>
    <row r="43" spans="2:30" ht="15" hidden="1" customHeight="1" x14ac:dyDescent="0.35">
      <c r="B43" s="269"/>
      <c r="C43" s="269"/>
      <c r="D43" s="269"/>
      <c r="E43" s="269"/>
      <c r="F43" s="269"/>
      <c r="G43" s="269"/>
      <c r="M43" s="269"/>
      <c r="N43" s="67"/>
    </row>
    <row r="44" spans="2:30" ht="15" hidden="1" customHeight="1" x14ac:dyDescent="0.35">
      <c r="B44" s="13" t="s">
        <v>70</v>
      </c>
      <c r="C44" s="13" t="s">
        <v>122</v>
      </c>
      <c r="D44" s="13" t="s">
        <v>90</v>
      </c>
      <c r="E44" s="13" t="s">
        <v>91</v>
      </c>
      <c r="F44" s="13" t="s">
        <v>123</v>
      </c>
      <c r="G44" s="13" t="s">
        <v>124</v>
      </c>
      <c r="M44" s="13" t="s">
        <v>125</v>
      </c>
    </row>
    <row r="45" spans="2:30" ht="15" hidden="1" customHeight="1" x14ac:dyDescent="0.35">
      <c r="B45" s="13" t="s">
        <v>94</v>
      </c>
      <c r="C45" s="13" t="s">
        <v>89</v>
      </c>
      <c r="D45" s="13" t="s">
        <v>126</v>
      </c>
      <c r="E45" s="13" t="s">
        <v>127</v>
      </c>
      <c r="F45" s="13" t="s">
        <v>128</v>
      </c>
      <c r="G45" s="13" t="s">
        <v>129</v>
      </c>
      <c r="M45" s="13" t="s">
        <v>67</v>
      </c>
    </row>
    <row r="46" spans="2:30" ht="15" hidden="1" customHeight="1" x14ac:dyDescent="0.35">
      <c r="B46" s="13" t="s">
        <v>58</v>
      </c>
      <c r="C46" s="13" t="s">
        <v>77</v>
      </c>
      <c r="D46" s="13" t="s">
        <v>60</v>
      </c>
      <c r="E46" s="13" t="s">
        <v>130</v>
      </c>
      <c r="F46" s="13" t="s">
        <v>131</v>
      </c>
      <c r="G46" s="13" t="s">
        <v>132</v>
      </c>
      <c r="M46" s="13" t="s">
        <v>133</v>
      </c>
    </row>
    <row r="47" spans="2:30" ht="15" hidden="1" customHeight="1" x14ac:dyDescent="0.35">
      <c r="B47" s="13" t="s">
        <v>76</v>
      </c>
      <c r="C47" s="13" t="s">
        <v>82</v>
      </c>
      <c r="D47" s="13" t="s">
        <v>134</v>
      </c>
      <c r="E47" s="13" t="s">
        <v>135</v>
      </c>
      <c r="F47" s="13" t="s">
        <v>136</v>
      </c>
      <c r="G47" s="13" t="s">
        <v>137</v>
      </c>
    </row>
    <row r="48" spans="2:30" ht="15" hidden="1" customHeight="1" x14ac:dyDescent="0.35">
      <c r="B48" s="13" t="s">
        <v>81</v>
      </c>
      <c r="C48" s="13" t="s">
        <v>98</v>
      </c>
      <c r="D48" s="13" t="s">
        <v>71</v>
      </c>
      <c r="E48" s="13" t="s">
        <v>138</v>
      </c>
      <c r="F48" s="13" t="s">
        <v>139</v>
      </c>
      <c r="G48" s="13" t="s">
        <v>140</v>
      </c>
    </row>
    <row r="49" spans="2:7" ht="15" hidden="1" customHeight="1" x14ac:dyDescent="0.35">
      <c r="B49" s="13" t="s">
        <v>141</v>
      </c>
      <c r="C49" s="13" t="s">
        <v>142</v>
      </c>
      <c r="D49" s="13" t="s">
        <v>78</v>
      </c>
      <c r="E49" s="13" t="s">
        <v>104</v>
      </c>
      <c r="F49" s="13" t="s">
        <v>143</v>
      </c>
      <c r="G49" s="13" t="s">
        <v>87</v>
      </c>
    </row>
    <row r="50" spans="2:7" ht="15" hidden="1" customHeight="1" x14ac:dyDescent="0.35">
      <c r="B50" s="13" t="s">
        <v>144</v>
      </c>
      <c r="C50" s="13" t="s">
        <v>145</v>
      </c>
      <c r="D50" s="13" t="s">
        <v>146</v>
      </c>
      <c r="E50" s="13" t="s">
        <v>83</v>
      </c>
      <c r="F50" s="13" t="s">
        <v>147</v>
      </c>
      <c r="G50" s="13" t="s">
        <v>148</v>
      </c>
    </row>
    <row r="51" spans="2:7" ht="15" hidden="1" customHeight="1" x14ac:dyDescent="0.35">
      <c r="B51" s="13" t="s">
        <v>149</v>
      </c>
      <c r="C51" s="13" t="s">
        <v>150</v>
      </c>
      <c r="E51" s="13" t="s">
        <v>86</v>
      </c>
      <c r="F51" s="13" t="s">
        <v>151</v>
      </c>
      <c r="G51" s="13" t="s">
        <v>105</v>
      </c>
    </row>
    <row r="52" spans="2:7" ht="15" hidden="1" customHeight="1" x14ac:dyDescent="0.35">
      <c r="C52" s="13" t="s">
        <v>103</v>
      </c>
      <c r="E52" s="13" t="s">
        <v>95</v>
      </c>
      <c r="F52" s="13" t="s">
        <v>152</v>
      </c>
      <c r="G52" s="13" t="s">
        <v>73</v>
      </c>
    </row>
    <row r="53" spans="2:7" ht="15" hidden="1" customHeight="1" x14ac:dyDescent="0.35">
      <c r="C53" s="13" t="s">
        <v>59</v>
      </c>
      <c r="E53" s="13" t="s">
        <v>153</v>
      </c>
      <c r="F53" s="13" t="s">
        <v>154</v>
      </c>
      <c r="G53" s="13" t="s">
        <v>92</v>
      </c>
    </row>
    <row r="54" spans="2:7" ht="15" hidden="1" customHeight="1" x14ac:dyDescent="0.35">
      <c r="E54" s="13" t="s">
        <v>155</v>
      </c>
      <c r="F54" s="13" t="s">
        <v>156</v>
      </c>
      <c r="G54" s="13" t="s">
        <v>100</v>
      </c>
    </row>
    <row r="55" spans="2:7" ht="15" hidden="1" customHeight="1" x14ac:dyDescent="0.35">
      <c r="E55" s="13" t="s">
        <v>157</v>
      </c>
      <c r="F55" s="13" t="s">
        <v>158</v>
      </c>
      <c r="G55" s="13" t="s">
        <v>159</v>
      </c>
    </row>
    <row r="56" spans="2:7" ht="15" hidden="1" customHeight="1" x14ac:dyDescent="0.35">
      <c r="E56" s="13" t="s">
        <v>61</v>
      </c>
      <c r="G56" s="13" t="s">
        <v>160</v>
      </c>
    </row>
    <row r="57" spans="2:7" ht="15" hidden="1" customHeight="1" x14ac:dyDescent="0.35">
      <c r="E57" s="13" t="s">
        <v>161</v>
      </c>
      <c r="G57" s="13" t="s">
        <v>162</v>
      </c>
    </row>
    <row r="58" spans="2:7" ht="15" hidden="1" customHeight="1" x14ac:dyDescent="0.35">
      <c r="E58" s="13" t="s">
        <v>72</v>
      </c>
      <c r="G58" s="13" t="s">
        <v>163</v>
      </c>
    </row>
    <row r="59" spans="2:7" ht="15" hidden="1" customHeight="1" x14ac:dyDescent="0.35">
      <c r="E59" s="13" t="s">
        <v>99</v>
      </c>
      <c r="G59" s="13" t="s">
        <v>164</v>
      </c>
    </row>
    <row r="60" spans="2:7" ht="15" hidden="1" customHeight="1" x14ac:dyDescent="0.35">
      <c r="E60" s="13" t="s">
        <v>165</v>
      </c>
      <c r="G60" s="13" t="s">
        <v>166</v>
      </c>
    </row>
    <row r="61" spans="2:7" ht="15" hidden="1" customHeight="1" x14ac:dyDescent="0.35">
      <c r="E61" s="13" t="s">
        <v>79</v>
      </c>
      <c r="G61" s="13" t="s">
        <v>167</v>
      </c>
    </row>
    <row r="62" spans="2:7" ht="15" hidden="1" customHeight="1" x14ac:dyDescent="0.35">
      <c r="E62" s="13" t="s">
        <v>168</v>
      </c>
      <c r="G62" s="13" t="s">
        <v>169</v>
      </c>
    </row>
    <row r="63" spans="2:7" ht="15" hidden="1" customHeight="1" x14ac:dyDescent="0.35">
      <c r="G63" s="13" t="s">
        <v>170</v>
      </c>
    </row>
    <row r="64" spans="2:7" ht="15" hidden="1" customHeight="1" x14ac:dyDescent="0.35">
      <c r="G64" s="13" t="s">
        <v>171</v>
      </c>
    </row>
    <row r="65" spans="7:7" ht="15" hidden="1" customHeight="1" x14ac:dyDescent="0.35">
      <c r="G65" s="13" t="s">
        <v>172</v>
      </c>
    </row>
    <row r="66" spans="7:7" ht="15" hidden="1" customHeight="1" x14ac:dyDescent="0.35">
      <c r="G66" s="13" t="s">
        <v>173</v>
      </c>
    </row>
    <row r="67" spans="7:7" ht="15" hidden="1" customHeight="1" x14ac:dyDescent="0.35">
      <c r="G67" s="13" t="s">
        <v>174</v>
      </c>
    </row>
    <row r="68" spans="7:7" ht="15" hidden="1" customHeight="1" x14ac:dyDescent="0.35">
      <c r="G68" s="13" t="s">
        <v>175</v>
      </c>
    </row>
    <row r="69" spans="7:7" ht="15" hidden="1" customHeight="1" x14ac:dyDescent="0.35">
      <c r="G69" s="13" t="s">
        <v>176</v>
      </c>
    </row>
    <row r="70" spans="7:7" ht="15" hidden="1" customHeight="1" x14ac:dyDescent="0.35">
      <c r="G70" s="13" t="s">
        <v>177</v>
      </c>
    </row>
    <row r="71" spans="7:7" ht="15" hidden="1" customHeight="1" x14ac:dyDescent="0.35">
      <c r="G71" s="13" t="s">
        <v>178</v>
      </c>
    </row>
    <row r="72" spans="7:7" ht="15" hidden="1" customHeight="1" x14ac:dyDescent="0.35">
      <c r="G72" s="13" t="s">
        <v>179</v>
      </c>
    </row>
    <row r="73" spans="7:7" ht="15" hidden="1" customHeight="1" x14ac:dyDescent="0.35">
      <c r="G73" s="13" t="s">
        <v>180</v>
      </c>
    </row>
    <row r="74" spans="7:7" ht="15" hidden="1" customHeight="1" x14ac:dyDescent="0.35">
      <c r="G74" s="13" t="s">
        <v>181</v>
      </c>
    </row>
    <row r="75" spans="7:7" ht="15" hidden="1" customHeight="1" x14ac:dyDescent="0.35">
      <c r="G75" s="13" t="s">
        <v>182</v>
      </c>
    </row>
    <row r="76" spans="7:7" ht="15" hidden="1" customHeight="1" x14ac:dyDescent="0.35">
      <c r="G76" s="13" t="s">
        <v>183</v>
      </c>
    </row>
    <row r="77" spans="7:7" ht="15" hidden="1" customHeight="1" x14ac:dyDescent="0.35">
      <c r="G77" s="13" t="s">
        <v>184</v>
      </c>
    </row>
    <row r="78" spans="7:7" ht="15" hidden="1" customHeight="1" x14ac:dyDescent="0.35">
      <c r="G78" s="13" t="s">
        <v>96</v>
      </c>
    </row>
    <row r="79" spans="7:7" ht="15" hidden="1" customHeight="1" x14ac:dyDescent="0.35">
      <c r="G79" s="13" t="s">
        <v>185</v>
      </c>
    </row>
    <row r="80" spans="7:7" ht="15" hidden="1" customHeight="1" x14ac:dyDescent="0.35">
      <c r="G80" s="13" t="s">
        <v>186</v>
      </c>
    </row>
    <row r="81" spans="7:7" ht="15" hidden="1" customHeight="1" x14ac:dyDescent="0.35">
      <c r="G81" s="13" t="s">
        <v>187</v>
      </c>
    </row>
    <row r="82" spans="7:7" ht="15" hidden="1" customHeight="1" x14ac:dyDescent="0.35">
      <c r="G82" s="13" t="s">
        <v>62</v>
      </c>
    </row>
    <row r="83" spans="7:7" ht="15" hidden="1" customHeight="1" x14ac:dyDescent="0.35">
      <c r="G83" s="13" t="s">
        <v>188</v>
      </c>
    </row>
    <row r="84" spans="7:7" ht="15" hidden="1" customHeight="1" x14ac:dyDescent="0.35">
      <c r="G84" s="13" t="s">
        <v>189</v>
      </c>
    </row>
    <row r="85" spans="7:7" ht="15" hidden="1" customHeight="1" x14ac:dyDescent="0.35">
      <c r="G85" s="13" t="s">
        <v>190</v>
      </c>
    </row>
    <row r="86" spans="7:7" ht="15" hidden="1" customHeight="1" x14ac:dyDescent="0.35">
      <c r="G86" s="13" t="s">
        <v>191</v>
      </c>
    </row>
    <row r="87" spans="7:7" ht="15" hidden="1" customHeight="1" x14ac:dyDescent="0.35">
      <c r="G87" s="13" t="s">
        <v>192</v>
      </c>
    </row>
    <row r="88" spans="7:7" ht="15" hidden="1" customHeight="1" x14ac:dyDescent="0.35">
      <c r="G88" s="13" t="s">
        <v>193</v>
      </c>
    </row>
    <row r="89" spans="7:7" ht="15" hidden="1" customHeight="1" x14ac:dyDescent="0.35">
      <c r="G89" s="13" t="s">
        <v>194</v>
      </c>
    </row>
    <row r="90" spans="7:7" ht="15" hidden="1" customHeight="1" x14ac:dyDescent="0.35">
      <c r="G90" s="13" t="s">
        <v>195</v>
      </c>
    </row>
    <row r="91" spans="7:7" ht="15" hidden="1" customHeight="1" x14ac:dyDescent="0.35">
      <c r="G91" s="13" t="s">
        <v>196</v>
      </c>
    </row>
    <row r="92" spans="7:7" ht="15" hidden="1" customHeight="1" x14ac:dyDescent="0.35">
      <c r="G92" s="13" t="s">
        <v>197</v>
      </c>
    </row>
    <row r="93" spans="7:7" ht="15" hidden="1" customHeight="1" x14ac:dyDescent="0.35">
      <c r="G93" s="13" t="s">
        <v>198</v>
      </c>
    </row>
    <row r="94" spans="7:7" ht="15" hidden="1" customHeight="1" x14ac:dyDescent="0.35">
      <c r="G94" s="13" t="s">
        <v>199</v>
      </c>
    </row>
    <row r="95" spans="7:7" ht="15" hidden="1" customHeight="1" x14ac:dyDescent="0.35">
      <c r="G95" s="13" t="s">
        <v>200</v>
      </c>
    </row>
    <row r="96" spans="7:7" ht="15" hidden="1" customHeight="1" x14ac:dyDescent="0.35">
      <c r="G96" s="13" t="s">
        <v>14</v>
      </c>
    </row>
    <row r="97" spans="7:7" ht="15" hidden="1" customHeight="1" x14ac:dyDescent="0.35">
      <c r="G97" s="13" t="s">
        <v>201</v>
      </c>
    </row>
    <row r="98" spans="7:7" ht="15" hidden="1" customHeight="1" x14ac:dyDescent="0.35">
      <c r="G98" s="13" t="s">
        <v>84</v>
      </c>
    </row>
    <row r="99" spans="7:7" ht="15" hidden="1" customHeight="1" x14ac:dyDescent="0.35">
      <c r="G99" s="13" t="s">
        <v>202</v>
      </c>
    </row>
    <row r="100" spans="7:7" ht="15" hidden="1" customHeight="1" x14ac:dyDescent="0.35">
      <c r="G100" s="13" t="s">
        <v>203</v>
      </c>
    </row>
    <row r="101" spans="7:7" ht="15" hidden="1" customHeight="1" x14ac:dyDescent="0.35">
      <c r="G101" s="13" t="s">
        <v>204</v>
      </c>
    </row>
    <row r="102" spans="7:7" ht="15" hidden="1" customHeight="1" x14ac:dyDescent="0.35">
      <c r="G102" s="13" t="s">
        <v>205</v>
      </c>
    </row>
    <row r="103" spans="7:7" ht="15" hidden="1" customHeight="1" x14ac:dyDescent="0.35">
      <c r="G103" s="13" t="s">
        <v>206</v>
      </c>
    </row>
  </sheetData>
  <sheetProtection algorithmName="SHA-512" hashValue="pJ7+ypujypzDW49etl1Qs1OAi3rzu5bCF8nV/51R6FI1hfUVeM0Z9UtLUdMeWUplUE+k0dHVuBdxkPG7iojp1Q==" saltValue="1f905jlZqTf+/HF8eWPKuA==" spinCount="100000" sheet="1" formatCells="0" formatColumns="0" formatRows="0" insertColumns="0" insertRows="0" insertHyperlinks="0" deleteColumns="0" deleteRows="0" sort="0" autoFilter="0" pivotTables="0"/>
  <protectedRanges>
    <protectedRange sqref="R14:AC14 R16:AC16 R18:AC18 AE14:AH21 R20:AC20" name="Rango1"/>
  </protectedRanges>
  <mergeCells count="147">
    <mergeCell ref="A1:C3"/>
    <mergeCell ref="D1:AH3"/>
    <mergeCell ref="A4:A5"/>
    <mergeCell ref="G4:G5"/>
    <mergeCell ref="A6:B10"/>
    <mergeCell ref="C6:D10"/>
    <mergeCell ref="E6:F10"/>
    <mergeCell ref="G6:G10"/>
    <mergeCell ref="H6:I10"/>
    <mergeCell ref="J6:J10"/>
    <mergeCell ref="K6:L10"/>
    <mergeCell ref="M6:M10"/>
    <mergeCell ref="N6:O10"/>
    <mergeCell ref="P6:Q10"/>
    <mergeCell ref="R6:U10"/>
    <mergeCell ref="V6:Y10"/>
    <mergeCell ref="Z6:AH10"/>
    <mergeCell ref="A11:F11"/>
    <mergeCell ref="G11:N11"/>
    <mergeCell ref="O11:AD11"/>
    <mergeCell ref="AE11:AH11"/>
    <mergeCell ref="A12:A13"/>
    <mergeCell ref="B12:B13"/>
    <mergeCell ref="C12:C13"/>
    <mergeCell ref="D12:D13"/>
    <mergeCell ref="E12:E13"/>
    <mergeCell ref="N12:N13"/>
    <mergeCell ref="O12:O13"/>
    <mergeCell ref="P12:P13"/>
    <mergeCell ref="Q12:Q13"/>
    <mergeCell ref="F12:F13"/>
    <mergeCell ref="G12:G13"/>
    <mergeCell ref="H12:H13"/>
    <mergeCell ref="I12:I13"/>
    <mergeCell ref="J12:J13"/>
    <mergeCell ref="K12:K13"/>
    <mergeCell ref="AD12:AD13"/>
    <mergeCell ref="AE12:AE13"/>
    <mergeCell ref="AF12:AF13"/>
    <mergeCell ref="AG12:AG13"/>
    <mergeCell ref="AH12:AH13"/>
    <mergeCell ref="A14:A15"/>
    <mergeCell ref="B14:B15"/>
    <mergeCell ref="C14:C15"/>
    <mergeCell ref="D14:D15"/>
    <mergeCell ref="E14:E15"/>
    <mergeCell ref="X12:X13"/>
    <mergeCell ref="Y12:Y13"/>
    <mergeCell ref="Z12:Z13"/>
    <mergeCell ref="AA12:AA13"/>
    <mergeCell ref="AB12:AB13"/>
    <mergeCell ref="AC12:AC13"/>
    <mergeCell ref="R12:R13"/>
    <mergeCell ref="S12:S13"/>
    <mergeCell ref="T12:T13"/>
    <mergeCell ref="U12:U13"/>
    <mergeCell ref="V12:V13"/>
    <mergeCell ref="W12:W13"/>
    <mergeCell ref="L12:L13"/>
    <mergeCell ref="M12:M13"/>
    <mergeCell ref="AH14:AH15"/>
    <mergeCell ref="A16:A17"/>
    <mergeCell ref="B16:B17"/>
    <mergeCell ref="C16:C17"/>
    <mergeCell ref="D16:D17"/>
    <mergeCell ref="E16:E17"/>
    <mergeCell ref="F16:F17"/>
    <mergeCell ref="G16:G17"/>
    <mergeCell ref="H16:H17"/>
    <mergeCell ref="I16:I17"/>
    <mergeCell ref="L14:L15"/>
    <mergeCell ref="M14:M15"/>
    <mergeCell ref="N14:N15"/>
    <mergeCell ref="AE14:AE15"/>
    <mergeCell ref="AF14:AF15"/>
    <mergeCell ref="AG14:AG15"/>
    <mergeCell ref="F14:F15"/>
    <mergeCell ref="G14:G15"/>
    <mergeCell ref="H14:H15"/>
    <mergeCell ref="I14:I15"/>
    <mergeCell ref="J14:J15"/>
    <mergeCell ref="K14:K15"/>
    <mergeCell ref="AF16:AF17"/>
    <mergeCell ref="AG16:AG17"/>
    <mergeCell ref="AH16:AH17"/>
    <mergeCell ref="A18:A19"/>
    <mergeCell ref="B18:B19"/>
    <mergeCell ref="C18:C19"/>
    <mergeCell ref="D18:D19"/>
    <mergeCell ref="E18:E19"/>
    <mergeCell ref="F18:F19"/>
    <mergeCell ref="G18:G19"/>
    <mergeCell ref="J16:J17"/>
    <mergeCell ref="K16:K17"/>
    <mergeCell ref="L16:L17"/>
    <mergeCell ref="M16:M17"/>
    <mergeCell ref="N16:N17"/>
    <mergeCell ref="AE16:AE17"/>
    <mergeCell ref="N18:N19"/>
    <mergeCell ref="AE18:AE19"/>
    <mergeCell ref="AF18:AF19"/>
    <mergeCell ref="AG18:AG19"/>
    <mergeCell ref="AH18:AH19"/>
    <mergeCell ref="L18:L19"/>
    <mergeCell ref="M18:M19"/>
    <mergeCell ref="A20:A21"/>
    <mergeCell ref="B20:B21"/>
    <mergeCell ref="C20:C21"/>
    <mergeCell ref="D20:D21"/>
    <mergeCell ref="E20:E21"/>
    <mergeCell ref="H18:H19"/>
    <mergeCell ref="I18:I19"/>
    <mergeCell ref="J18:J19"/>
    <mergeCell ref="K18:K19"/>
    <mergeCell ref="I32:J32"/>
    <mergeCell ref="I33:J33"/>
    <mergeCell ref="I34:J34"/>
    <mergeCell ref="I35:J35"/>
    <mergeCell ref="I36:J36"/>
    <mergeCell ref="H38:I38"/>
    <mergeCell ref="AH20:AH21"/>
    <mergeCell ref="D23:E23"/>
    <mergeCell ref="H23:H26"/>
    <mergeCell ref="D24:E24"/>
    <mergeCell ref="H27:H30"/>
    <mergeCell ref="I31:J31"/>
    <mergeCell ref="L20:L21"/>
    <mergeCell ref="M20:M21"/>
    <mergeCell ref="N20:N21"/>
    <mergeCell ref="AE20:AE21"/>
    <mergeCell ref="AF20:AF21"/>
    <mergeCell ref="AG20:AG21"/>
    <mergeCell ref="F20:F21"/>
    <mergeCell ref="G20:G21"/>
    <mergeCell ref="H20:H21"/>
    <mergeCell ref="I20:I21"/>
    <mergeCell ref="J20:J21"/>
    <mergeCell ref="K20:K21"/>
    <mergeCell ref="M42:M43"/>
    <mergeCell ref="H39:I39"/>
    <mergeCell ref="H40:I40"/>
    <mergeCell ref="B42:B43"/>
    <mergeCell ref="C42:C43"/>
    <mergeCell ref="D42:D43"/>
    <mergeCell ref="E42:E43"/>
    <mergeCell ref="F42:F43"/>
    <mergeCell ref="G42:G43"/>
  </mergeCells>
  <conditionalFormatting sqref="I4">
    <cfRule type="cellIs" dxfId="134" priority="10" operator="lessThanOrEqual">
      <formula>$C$4</formula>
    </cfRule>
  </conditionalFormatting>
  <conditionalFormatting sqref="J6">
    <cfRule type="cellIs" dxfId="133" priority="11" operator="greaterThanOrEqual">
      <formula>$C$5</formula>
    </cfRule>
    <cfRule type="cellIs" dxfId="132" priority="12" operator="lessThanOrEqual">
      <formula>$C$4</formula>
    </cfRule>
    <cfRule type="cellIs" dxfId="131" priority="13" operator="between">
      <formula>$C$5</formula>
      <formula>$C$4</formula>
    </cfRule>
  </conditionalFormatting>
  <conditionalFormatting sqref="P6">
    <cfRule type="cellIs" dxfId="130" priority="7" operator="greaterThanOrEqual">
      <formula>$I$5</formula>
    </cfRule>
    <cfRule type="cellIs" dxfId="129" priority="8" operator="lessThanOrEqual">
      <formula>$I$4</formula>
    </cfRule>
    <cfRule type="cellIs" dxfId="128" priority="9" operator="between">
      <formula>$I$5</formula>
      <formula>$I$4</formula>
    </cfRule>
  </conditionalFormatting>
  <conditionalFormatting sqref="Q14:Q21">
    <cfRule type="cellIs" dxfId="127" priority="4" operator="greaterThanOrEqual">
      <formula>$C$5</formula>
    </cfRule>
    <cfRule type="cellIs" dxfId="126" priority="5" operator="lessThanOrEqual">
      <formula>$C$4</formula>
    </cfRule>
    <cfRule type="cellIs" dxfId="125" priority="6" operator="between">
      <formula>$C$5</formula>
      <formula>$C$4</formula>
    </cfRule>
  </conditionalFormatting>
  <conditionalFormatting sqref="S31:S34 W31:W34 O31:O36 AA31:AA36 K32:N32 P32:R32 T32:V32 X32:Z32 AB32:AD32 J40">
    <cfRule type="cellIs" dxfId="124" priority="14" operator="greaterThanOrEqual">
      <formula>$D$9</formula>
    </cfRule>
    <cfRule type="cellIs" dxfId="123" priority="15" operator="lessThanOrEqual">
      <formula>$C$6</formula>
    </cfRule>
    <cfRule type="cellIs" dxfId="122" priority="16" operator="between">
      <formula>$C$6</formula>
      <formula>$D$9</formula>
    </cfRule>
  </conditionalFormatting>
  <conditionalFormatting sqref="V6">
    <cfRule type="cellIs" dxfId="121" priority="1" operator="greaterThanOrEqual">
      <formula>$I$5</formula>
    </cfRule>
    <cfRule type="cellIs" dxfId="120" priority="2" operator="lessThanOrEqual">
      <formula>$I$4</formula>
    </cfRule>
    <cfRule type="cellIs" dxfId="119" priority="3" operator="between">
      <formula>$I$5</formula>
      <formula>$I$4</formula>
    </cfRule>
  </conditionalFormatting>
  <dataValidations count="10">
    <dataValidation type="list" allowBlank="1" showInputMessage="1" showErrorMessage="1" sqref="L14:L21" xr:uid="{E74B6A55-683F-40CE-BA4D-57C4818DA6D9}">
      <formula1>$L$44:$L$46</formula1>
    </dataValidation>
    <dataValidation type="list" allowBlank="1" showInputMessage="1" showErrorMessage="1" sqref="G14:G21" xr:uid="{C42AF3C4-F266-4566-A9D6-8F333536E41D}">
      <formula1>$G$44:$G$103</formula1>
    </dataValidation>
    <dataValidation type="list" allowBlank="1" showInputMessage="1" showErrorMessage="1" sqref="E14:E21" xr:uid="{D455E8EE-A08A-4EBD-814F-5E36D029617C}">
      <formula1>$E$44:$E$62</formula1>
    </dataValidation>
    <dataValidation type="list" allowBlank="1" showInputMessage="1" showErrorMessage="1" sqref="D14:D21" xr:uid="{FE870FC3-C104-4B01-A392-356FBA56D2DF}">
      <formula1>$D$44:$D$50</formula1>
    </dataValidation>
    <dataValidation type="list" allowBlank="1" showInputMessage="1" showErrorMessage="1" sqref="C14:C21" xr:uid="{8A6251DB-157E-40FC-BA12-76CDB0B0EA30}">
      <formula1>$C$44:$C$53</formula1>
    </dataValidation>
    <dataValidation type="list" allowBlank="1" showInputMessage="1" showErrorMessage="1" sqref="B14:B21" xr:uid="{8C4857D5-8F9B-4E1B-B69B-7B01D0BBD1A6}">
      <formula1>$B$44:$B$51</formula1>
    </dataValidation>
    <dataValidation allowBlank="1" showErrorMessage="1" sqref="Q14:Q21" xr:uid="{B090EC89-F6F8-4B5E-B812-DD4C106B822C}"/>
    <dataValidation type="decimal" allowBlank="1" showInputMessage="1" showErrorMessage="1" prompt="campo calculado  - indica el % de avance  que aporta la activadad a todo el proyecto" sqref="P19 P17 P15 P21" xr:uid="{41543B8E-A588-4671-AAD2-FE58A9A5BF05}">
      <formula1>0</formula1>
      <formula2>1</formula2>
    </dataValidation>
    <dataValidation type="decimal" allowBlank="1" showInputMessage="1" showErrorMessage="1" prompt="valor porcentual de la activida - Indique el peso porcentual de la actividad dentro del proyecto" sqref="P14 P16 P18 P20" xr:uid="{FD5AC2B1-000F-485B-AAA7-58CAFC8F5FDF}">
      <formula1>0</formula1>
      <formula2>1</formula2>
    </dataValidation>
    <dataValidation type="decimal" allowBlank="1" showInputMessage="1" showErrorMessage="1" prompt="% de avance en la actividad - indique el % programado de avance durante esta semana_x000a_" sqref="R14:AC15 R16:AD21" xr:uid="{DB6543CC-877C-46C0-A959-7B7A771724C6}">
      <formula1>0</formula1>
      <formula2>1</formula2>
    </dataValidation>
  </dataValidations>
  <pageMargins left="0.7" right="0.7" top="0.75" bottom="0.75" header="0.3" footer="0.3"/>
  <pageSetup scale="13" orientation="portrait" r:id="rId1"/>
  <headerFooter>
    <oddFooter>&amp;C_x000D_&amp;1#&amp;"Calibri"&amp;10&amp;K008000 DOCUMENTO PÚBLICO</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4BF3C-6922-41B2-B0E8-DE9633D5D0F2}">
  <dimension ref="A1:AM110"/>
  <sheetViews>
    <sheetView showGridLines="0" view="pageBreakPreview" topLeftCell="U13" zoomScale="60" zoomScaleNormal="10" zoomScalePageLayoutView="48" workbookViewId="0">
      <selection activeCell="AH15" sqref="AH15"/>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8" width="28.54296875" style="13" customWidth="1"/>
    <col min="9" max="9" width="41.453125" style="13" customWidth="1"/>
    <col min="10" max="10" width="28.54296875" style="13" customWidth="1"/>
    <col min="11" max="12" width="19.54296875" style="13" customWidth="1"/>
    <col min="13" max="13" width="28.54296875" style="13" customWidth="1"/>
    <col min="14" max="15" width="18.453125" style="13" customWidth="1"/>
    <col min="16" max="16" width="24" style="13" customWidth="1"/>
    <col min="17" max="17" width="26.26953125" style="13" customWidth="1"/>
    <col min="18" max="18" width="29.26953125" style="13" customWidth="1"/>
    <col min="19" max="19" width="19.81640625" style="13" customWidth="1"/>
    <col min="20" max="21" width="18.453125" style="13" customWidth="1"/>
    <col min="22" max="24" width="13.54296875" style="13" customWidth="1"/>
    <col min="25" max="36" width="9.54296875" style="13" customWidth="1"/>
    <col min="37" max="37" width="9.54296875" style="13" hidden="1" customWidth="1"/>
    <col min="38" max="39" width="60.81640625" style="13" customWidth="1"/>
    <col min="40" max="16384" width="12.54296875" style="13"/>
  </cols>
  <sheetData>
    <row r="1" spans="1:39" s="5" customFormat="1" ht="15" customHeight="1" x14ac:dyDescent="0.35">
      <c r="A1" s="337"/>
      <c r="B1" s="338"/>
      <c r="C1" s="339"/>
      <c r="D1" s="346" t="s">
        <v>1376</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row>
    <row r="2" spans="1:39"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row>
    <row r="3" spans="1:39"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row>
    <row r="4" spans="1:39"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ht="15" customHeight="1" x14ac:dyDescent="0.35">
      <c r="A6" s="295" t="s">
        <v>13</v>
      </c>
      <c r="B6" s="297"/>
      <c r="C6" s="423" t="s">
        <v>92</v>
      </c>
      <c r="D6" s="423"/>
      <c r="E6" s="295" t="s">
        <v>15</v>
      </c>
      <c r="F6" s="297"/>
      <c r="G6" s="455">
        <f>+W15+W17+W19+W21+W23+W25+W27+W29</f>
        <v>1</v>
      </c>
      <c r="H6" s="295" t="s">
        <v>209</v>
      </c>
      <c r="I6" s="297"/>
      <c r="J6" s="489">
        <f>+W14+W16+W18+W20+W22+W24+W26+W28/100%</f>
        <v>0</v>
      </c>
      <c r="K6" s="295" t="s">
        <v>17</v>
      </c>
      <c r="L6" s="297"/>
      <c r="M6" s="443">
        <v>1</v>
      </c>
      <c r="N6" s="295" t="s">
        <v>1361</v>
      </c>
      <c r="O6" s="297"/>
      <c r="P6" s="304">
        <f>(SUM(Y14:AD14,Y16:AD16,Y18:AD18,Y20:AD20,Y22:AD22,Y24:AD24,Y26:AD26,Y28:AD28)/SUM(Y15:AD15,Y17:AD17,Y19:AD19,Y21:AD21,Y23:AD23,Y25:AD25,Y27:AD27,Y29:AD29))/M6</f>
        <v>0</v>
      </c>
      <c r="Q6" s="325"/>
      <c r="R6" s="295" t="s">
        <v>1362</v>
      </c>
      <c r="S6" s="297"/>
      <c r="T6" s="304">
        <f>SUM(AE14:AK14,AE16:AK16,AE18:AK18,AE20:AK20,AE22:AK22,AE24:AK24,AE26:AK26,AE28:AK28)/SUM(AE15:AK15,AE17:AK17,AE19:AK19,AE21:AK21,AE23:AK23,AE25:AK25,AE27:AK27,AE29:AK29)/M6</f>
        <v>0</v>
      </c>
      <c r="U6" s="325"/>
      <c r="V6" s="325"/>
      <c r="W6" s="295"/>
      <c r="X6" s="296"/>
      <c r="Y6" s="296"/>
      <c r="Z6" s="296"/>
      <c r="AA6" s="296"/>
      <c r="AB6" s="296"/>
      <c r="AC6" s="296"/>
      <c r="AD6" s="296"/>
      <c r="AE6" s="296"/>
      <c r="AF6" s="296"/>
      <c r="AG6" s="296"/>
      <c r="AH6" s="296"/>
      <c r="AI6" s="296"/>
      <c r="AJ6" s="296"/>
      <c r="AK6" s="296"/>
      <c r="AL6" s="296"/>
      <c r="AM6" s="296"/>
    </row>
    <row r="7" spans="1:39" ht="15" customHeight="1" x14ac:dyDescent="0.35">
      <c r="A7" s="298"/>
      <c r="B7" s="300"/>
      <c r="C7" s="423"/>
      <c r="D7" s="423"/>
      <c r="E7" s="298"/>
      <c r="F7" s="300"/>
      <c r="G7" s="456"/>
      <c r="H7" s="298"/>
      <c r="I7" s="300"/>
      <c r="J7" s="490"/>
      <c r="K7" s="298"/>
      <c r="L7" s="300"/>
      <c r="M7" s="444"/>
      <c r="N7" s="298"/>
      <c r="O7" s="300"/>
      <c r="P7" s="306"/>
      <c r="Q7" s="326"/>
      <c r="R7" s="298"/>
      <c r="S7" s="300"/>
      <c r="T7" s="306"/>
      <c r="U7" s="326"/>
      <c r="V7" s="326"/>
      <c r="W7" s="298"/>
      <c r="X7" s="299"/>
      <c r="Y7" s="299"/>
      <c r="Z7" s="299"/>
      <c r="AA7" s="299"/>
      <c r="AB7" s="299"/>
      <c r="AC7" s="299"/>
      <c r="AD7" s="299"/>
      <c r="AE7" s="299"/>
      <c r="AF7" s="299"/>
      <c r="AG7" s="299"/>
      <c r="AH7" s="299"/>
      <c r="AI7" s="299"/>
      <c r="AJ7" s="299"/>
      <c r="AK7" s="299"/>
      <c r="AL7" s="299"/>
      <c r="AM7" s="299"/>
    </row>
    <row r="8" spans="1:39" ht="15" customHeight="1" x14ac:dyDescent="0.35">
      <c r="A8" s="298"/>
      <c r="B8" s="300"/>
      <c r="C8" s="423"/>
      <c r="D8" s="423"/>
      <c r="E8" s="298"/>
      <c r="F8" s="300"/>
      <c r="G8" s="456"/>
      <c r="H8" s="298"/>
      <c r="I8" s="300"/>
      <c r="J8" s="490"/>
      <c r="K8" s="298"/>
      <c r="L8" s="300"/>
      <c r="M8" s="444"/>
      <c r="N8" s="298"/>
      <c r="O8" s="300"/>
      <c r="P8" s="306"/>
      <c r="Q8" s="326"/>
      <c r="R8" s="298"/>
      <c r="S8" s="300"/>
      <c r="T8" s="306"/>
      <c r="U8" s="326"/>
      <c r="V8" s="326"/>
      <c r="W8" s="298"/>
      <c r="X8" s="299"/>
      <c r="Y8" s="299"/>
      <c r="Z8" s="299"/>
      <c r="AA8" s="299"/>
      <c r="AB8" s="299"/>
      <c r="AC8" s="299"/>
      <c r="AD8" s="299"/>
      <c r="AE8" s="299"/>
      <c r="AF8" s="299"/>
      <c r="AG8" s="299"/>
      <c r="AH8" s="299"/>
      <c r="AI8" s="299"/>
      <c r="AJ8" s="299"/>
      <c r="AK8" s="299"/>
      <c r="AL8" s="299"/>
      <c r="AM8" s="299"/>
    </row>
    <row r="9" spans="1:39" ht="15" customHeight="1" x14ac:dyDescent="0.35">
      <c r="A9" s="298"/>
      <c r="B9" s="300"/>
      <c r="C9" s="423"/>
      <c r="D9" s="423"/>
      <c r="E9" s="298"/>
      <c r="F9" s="300"/>
      <c r="G9" s="456"/>
      <c r="H9" s="298"/>
      <c r="I9" s="300"/>
      <c r="J9" s="490"/>
      <c r="K9" s="298"/>
      <c r="L9" s="300"/>
      <c r="M9" s="444"/>
      <c r="N9" s="298"/>
      <c r="O9" s="300"/>
      <c r="P9" s="306"/>
      <c r="Q9" s="326"/>
      <c r="R9" s="298"/>
      <c r="S9" s="300"/>
      <c r="T9" s="306"/>
      <c r="U9" s="326"/>
      <c r="V9" s="326"/>
      <c r="W9" s="298"/>
      <c r="X9" s="299"/>
      <c r="Y9" s="299"/>
      <c r="Z9" s="299"/>
      <c r="AA9" s="299"/>
      <c r="AB9" s="299"/>
      <c r="AC9" s="299"/>
      <c r="AD9" s="299"/>
      <c r="AE9" s="299"/>
      <c r="AF9" s="299"/>
      <c r="AG9" s="299"/>
      <c r="AH9" s="299"/>
      <c r="AI9" s="299"/>
      <c r="AJ9" s="299"/>
      <c r="AK9" s="299"/>
      <c r="AL9" s="299"/>
      <c r="AM9" s="299"/>
    </row>
    <row r="10" spans="1:39" ht="15" customHeight="1" thickBot="1" x14ac:dyDescent="0.4">
      <c r="A10" s="467"/>
      <c r="B10" s="468"/>
      <c r="C10" s="423"/>
      <c r="D10" s="423"/>
      <c r="E10" s="467"/>
      <c r="F10" s="468"/>
      <c r="G10" s="457"/>
      <c r="H10" s="467"/>
      <c r="I10" s="468"/>
      <c r="J10" s="491"/>
      <c r="K10" s="467"/>
      <c r="L10" s="468"/>
      <c r="M10" s="445"/>
      <c r="N10" s="467"/>
      <c r="O10" s="468"/>
      <c r="P10" s="308"/>
      <c r="Q10" s="327"/>
      <c r="R10" s="467"/>
      <c r="S10" s="468"/>
      <c r="T10" s="308"/>
      <c r="U10" s="327"/>
      <c r="V10" s="327"/>
      <c r="W10" s="467"/>
      <c r="X10" s="498"/>
      <c r="Y10" s="498"/>
      <c r="Z10" s="498"/>
      <c r="AA10" s="498"/>
      <c r="AB10" s="498"/>
      <c r="AC10" s="498"/>
      <c r="AD10" s="498"/>
      <c r="AE10" s="498"/>
      <c r="AF10" s="498"/>
      <c r="AG10" s="498"/>
      <c r="AH10" s="498"/>
      <c r="AI10" s="498"/>
      <c r="AJ10" s="498"/>
      <c r="AK10" s="498"/>
      <c r="AL10" s="498"/>
      <c r="AM10" s="498"/>
    </row>
    <row r="11" spans="1:39" s="14" customFormat="1" ht="40.4" customHeight="1" thickBot="1" x14ac:dyDescent="0.4">
      <c r="A11" s="313" t="s">
        <v>21</v>
      </c>
      <c r="B11" s="313"/>
      <c r="C11" s="313"/>
      <c r="D11" s="313"/>
      <c r="E11" s="313"/>
      <c r="F11" s="314"/>
      <c r="G11" s="497" t="s">
        <v>22</v>
      </c>
      <c r="H11" s="441"/>
      <c r="I11" s="441"/>
      <c r="J11" s="441"/>
      <c r="K11" s="441"/>
      <c r="L11" s="441"/>
      <c r="M11" s="441"/>
      <c r="N11" s="441"/>
      <c r="O11" s="441"/>
      <c r="P11" s="441"/>
      <c r="Q11" s="441"/>
      <c r="R11" s="441"/>
      <c r="S11" s="441"/>
      <c r="T11" s="441"/>
      <c r="U11" s="442"/>
      <c r="V11" s="440" t="s">
        <v>23</v>
      </c>
      <c r="W11" s="441"/>
      <c r="X11" s="441"/>
      <c r="Y11" s="441"/>
      <c r="Z11" s="441"/>
      <c r="AA11" s="441"/>
      <c r="AB11" s="441"/>
      <c r="AC11" s="441"/>
      <c r="AD11" s="441"/>
      <c r="AE11" s="441"/>
      <c r="AF11" s="441"/>
      <c r="AG11" s="441"/>
      <c r="AH11" s="441"/>
      <c r="AI11" s="441"/>
      <c r="AJ11" s="441"/>
      <c r="AK11" s="442"/>
      <c r="AL11" s="320" t="s">
        <v>24</v>
      </c>
      <c r="AM11" s="321"/>
    </row>
    <row r="12" spans="1:39" ht="39" customHeight="1" x14ac:dyDescent="0.35">
      <c r="A12" s="286" t="s">
        <v>25</v>
      </c>
      <c r="B12" s="294" t="s">
        <v>26</v>
      </c>
      <c r="C12" s="294" t="s">
        <v>27</v>
      </c>
      <c r="D12" s="294" t="s">
        <v>28</v>
      </c>
      <c r="E12" s="294" t="s">
        <v>29</v>
      </c>
      <c r="F12" s="294" t="s">
        <v>30</v>
      </c>
      <c r="G12" s="294" t="s">
        <v>1377</v>
      </c>
      <c r="H12" s="286" t="s">
        <v>1378</v>
      </c>
      <c r="I12" s="286" t="s">
        <v>1379</v>
      </c>
      <c r="J12" s="286" t="s">
        <v>1380</v>
      </c>
      <c r="K12" s="286" t="s">
        <v>1381</v>
      </c>
      <c r="L12" s="286" t="s">
        <v>1382</v>
      </c>
      <c r="M12" s="286" t="s">
        <v>1383</v>
      </c>
      <c r="N12" s="294" t="s">
        <v>1384</v>
      </c>
      <c r="O12" s="310" t="s">
        <v>1385</v>
      </c>
      <c r="P12" s="311" t="s">
        <v>33</v>
      </c>
      <c r="Q12" s="312" t="s">
        <v>34</v>
      </c>
      <c r="R12" s="291" t="s">
        <v>35</v>
      </c>
      <c r="S12" s="291" t="s">
        <v>36</v>
      </c>
      <c r="T12" s="291" t="s">
        <v>37</v>
      </c>
      <c r="U12" s="291" t="s">
        <v>38</v>
      </c>
      <c r="V12" s="291" t="s">
        <v>39</v>
      </c>
      <c r="W12" s="291" t="s">
        <v>40</v>
      </c>
      <c r="X12" s="291" t="s">
        <v>41</v>
      </c>
      <c r="Y12" s="291" t="s">
        <v>42</v>
      </c>
      <c r="Z12" s="291" t="s">
        <v>43</v>
      </c>
      <c r="AA12" s="291" t="s">
        <v>44</v>
      </c>
      <c r="AB12" s="291" t="s">
        <v>45</v>
      </c>
      <c r="AC12" s="291" t="s">
        <v>46</v>
      </c>
      <c r="AD12" s="291" t="s">
        <v>47</v>
      </c>
      <c r="AE12" s="291" t="s">
        <v>48</v>
      </c>
      <c r="AF12" s="291" t="s">
        <v>49</v>
      </c>
      <c r="AG12" s="291" t="s">
        <v>50</v>
      </c>
      <c r="AH12" s="291" t="s">
        <v>51</v>
      </c>
      <c r="AI12" s="291" t="s">
        <v>52</v>
      </c>
      <c r="AJ12" s="291" t="s">
        <v>53</v>
      </c>
      <c r="AK12" s="291" t="s">
        <v>1386</v>
      </c>
      <c r="AL12" s="435" t="s">
        <v>216</v>
      </c>
      <c r="AM12" s="394" t="s">
        <v>217</v>
      </c>
    </row>
    <row r="13" spans="1:39"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t="s">
        <v>1387</v>
      </c>
      <c r="U13" s="291" t="s">
        <v>1388</v>
      </c>
      <c r="V13" s="291"/>
      <c r="W13" s="291"/>
      <c r="X13" s="291"/>
      <c r="Y13" s="291"/>
      <c r="Z13" s="291"/>
      <c r="AA13" s="291"/>
      <c r="AB13" s="291"/>
      <c r="AC13" s="291"/>
      <c r="AD13" s="291"/>
      <c r="AE13" s="291"/>
      <c r="AF13" s="291"/>
      <c r="AG13" s="291"/>
      <c r="AH13" s="291"/>
      <c r="AI13" s="291"/>
      <c r="AJ13" s="291"/>
      <c r="AK13" s="291"/>
      <c r="AL13" s="436"/>
      <c r="AM13" s="395"/>
    </row>
    <row r="14" spans="1:39" ht="62.5" customHeight="1" thickBot="1" x14ac:dyDescent="0.4">
      <c r="A14" s="262">
        <v>1</v>
      </c>
      <c r="B14" s="262" t="s">
        <v>70</v>
      </c>
      <c r="C14" s="262" t="s">
        <v>77</v>
      </c>
      <c r="D14" s="262" t="s">
        <v>90</v>
      </c>
      <c r="E14" s="262" t="s">
        <v>91</v>
      </c>
      <c r="F14" s="280" t="s">
        <v>1389</v>
      </c>
      <c r="G14" s="262" t="s">
        <v>1390</v>
      </c>
      <c r="H14" s="262" t="s">
        <v>1391</v>
      </c>
      <c r="I14" s="262" t="s">
        <v>1392</v>
      </c>
      <c r="J14" s="262" t="s">
        <v>1393</v>
      </c>
      <c r="K14" s="262" t="s">
        <v>1393</v>
      </c>
      <c r="L14" s="262" t="s">
        <v>1394</v>
      </c>
      <c r="M14" s="262" t="s">
        <v>1395</v>
      </c>
      <c r="N14" s="262" t="s">
        <v>1396</v>
      </c>
      <c r="O14" s="262" t="s">
        <v>1395</v>
      </c>
      <c r="P14" s="262" t="s">
        <v>1374</v>
      </c>
      <c r="Q14" s="275" t="s">
        <v>1397</v>
      </c>
      <c r="R14" s="275" t="s">
        <v>1398</v>
      </c>
      <c r="S14" s="275" t="s">
        <v>1399</v>
      </c>
      <c r="T14" s="275" t="s">
        <v>1400</v>
      </c>
      <c r="U14" s="275" t="s">
        <v>1401</v>
      </c>
      <c r="V14" s="15" t="s">
        <v>68</v>
      </c>
      <c r="W14" s="16">
        <f>+(W15*X14)</f>
        <v>0</v>
      </c>
      <c r="X14" s="17">
        <f>SUM(Y14:AK14)</f>
        <v>0</v>
      </c>
      <c r="Y14" s="18"/>
      <c r="Z14" s="18"/>
      <c r="AA14" s="18"/>
      <c r="AB14" s="18"/>
      <c r="AC14" s="18"/>
      <c r="AD14" s="18"/>
      <c r="AE14" s="18"/>
      <c r="AF14" s="18"/>
      <c r="AG14" s="19"/>
      <c r="AH14" s="19"/>
      <c r="AI14" s="19"/>
      <c r="AJ14" s="19"/>
      <c r="AK14" s="19"/>
      <c r="AL14" s="492"/>
      <c r="AM14" s="428"/>
    </row>
    <row r="15" spans="1:39" ht="62.5" customHeight="1" thickBot="1" x14ac:dyDescent="0.4">
      <c r="A15" s="263"/>
      <c r="B15" s="263"/>
      <c r="C15" s="263"/>
      <c r="D15" s="263"/>
      <c r="E15" s="263"/>
      <c r="F15" s="290"/>
      <c r="G15" s="263"/>
      <c r="H15" s="263"/>
      <c r="I15" s="263"/>
      <c r="J15" s="263"/>
      <c r="K15" s="263"/>
      <c r="L15" s="263"/>
      <c r="M15" s="263"/>
      <c r="N15" s="263"/>
      <c r="O15" s="263"/>
      <c r="P15" s="263"/>
      <c r="Q15" s="277"/>
      <c r="R15" s="277"/>
      <c r="S15" s="277"/>
      <c r="T15" s="277"/>
      <c r="U15" s="277"/>
      <c r="V15" s="15" t="s">
        <v>69</v>
      </c>
      <c r="W15" s="21">
        <f>100%/8</f>
        <v>0.125</v>
      </c>
      <c r="X15" s="17">
        <f t="shared" ref="X15:X25" si="0">SUM(Y15:AK15)</f>
        <v>1</v>
      </c>
      <c r="Y15" s="22"/>
      <c r="Z15" s="22"/>
      <c r="AA15" s="22"/>
      <c r="AB15" s="22"/>
      <c r="AC15" s="22"/>
      <c r="AD15" s="22">
        <v>0.5</v>
      </c>
      <c r="AE15" s="22"/>
      <c r="AF15" s="22"/>
      <c r="AG15" s="22"/>
      <c r="AH15" s="22"/>
      <c r="AI15" s="22"/>
      <c r="AJ15" s="22">
        <v>0.5</v>
      </c>
      <c r="AK15" s="22"/>
      <c r="AL15" s="493"/>
      <c r="AM15" s="429"/>
    </row>
    <row r="16" spans="1:39" ht="62.5" customHeight="1" thickBot="1" x14ac:dyDescent="0.4">
      <c r="A16" s="262">
        <v>2</v>
      </c>
      <c r="B16" s="262" t="s">
        <v>70</v>
      </c>
      <c r="C16" s="262" t="s">
        <v>142</v>
      </c>
      <c r="D16" s="262" t="s">
        <v>90</v>
      </c>
      <c r="E16" s="262" t="s">
        <v>91</v>
      </c>
      <c r="F16" s="280" t="s">
        <v>1389</v>
      </c>
      <c r="G16" s="262" t="s">
        <v>1402</v>
      </c>
      <c r="H16" s="262" t="s">
        <v>1403</v>
      </c>
      <c r="I16" s="262" t="s">
        <v>1404</v>
      </c>
      <c r="J16" s="262" t="s">
        <v>1393</v>
      </c>
      <c r="K16" s="262" t="s">
        <v>1393</v>
      </c>
      <c r="L16" s="262" t="s">
        <v>1394</v>
      </c>
      <c r="M16" s="262" t="s">
        <v>1395</v>
      </c>
      <c r="N16" s="262" t="s">
        <v>1396</v>
      </c>
      <c r="O16" s="262" t="s">
        <v>1395</v>
      </c>
      <c r="P16" s="262" t="s">
        <v>1374</v>
      </c>
      <c r="Q16" s="275" t="s">
        <v>1397</v>
      </c>
      <c r="R16" s="275" t="s">
        <v>1398</v>
      </c>
      <c r="S16" s="275" t="s">
        <v>1399</v>
      </c>
      <c r="T16" s="275" t="s">
        <v>1400</v>
      </c>
      <c r="U16" s="275" t="s">
        <v>1401</v>
      </c>
      <c r="V16" s="15" t="s">
        <v>68</v>
      </c>
      <c r="W16" s="16">
        <f>+(W17*X16)</f>
        <v>0</v>
      </c>
      <c r="X16" s="17">
        <f t="shared" ref="X16:X21" si="1">SUM(Y16:AK16)</f>
        <v>0</v>
      </c>
      <c r="Y16" s="18"/>
      <c r="Z16" s="18"/>
      <c r="AA16" s="18"/>
      <c r="AB16" s="18"/>
      <c r="AC16" s="18"/>
      <c r="AD16" s="18"/>
      <c r="AE16" s="18"/>
      <c r="AF16" s="18"/>
      <c r="AG16" s="19"/>
      <c r="AH16" s="19"/>
      <c r="AI16" s="19"/>
      <c r="AJ16" s="19"/>
      <c r="AK16" s="19"/>
      <c r="AL16" s="492"/>
      <c r="AM16" s="496"/>
    </row>
    <row r="17" spans="1:39" ht="62.5" customHeight="1" thickBot="1" x14ac:dyDescent="0.4">
      <c r="A17" s="263"/>
      <c r="B17" s="263"/>
      <c r="C17" s="263"/>
      <c r="D17" s="263"/>
      <c r="E17" s="263"/>
      <c r="F17" s="281"/>
      <c r="G17" s="263"/>
      <c r="H17" s="263"/>
      <c r="I17" s="263"/>
      <c r="J17" s="263"/>
      <c r="K17" s="263"/>
      <c r="L17" s="263"/>
      <c r="M17" s="263"/>
      <c r="N17" s="263"/>
      <c r="O17" s="263"/>
      <c r="P17" s="263"/>
      <c r="Q17" s="277"/>
      <c r="R17" s="277"/>
      <c r="S17" s="277"/>
      <c r="T17" s="277"/>
      <c r="U17" s="277"/>
      <c r="V17" s="15" t="s">
        <v>69</v>
      </c>
      <c r="W17" s="21">
        <f>100%/8</f>
        <v>0.125</v>
      </c>
      <c r="X17" s="17">
        <f t="shared" si="1"/>
        <v>1</v>
      </c>
      <c r="Y17" s="22"/>
      <c r="Z17" s="22"/>
      <c r="AA17" s="22"/>
      <c r="AB17" s="22"/>
      <c r="AC17" s="22"/>
      <c r="AD17" s="22">
        <v>0.5</v>
      </c>
      <c r="AE17" s="22"/>
      <c r="AF17" s="22"/>
      <c r="AG17" s="22"/>
      <c r="AH17" s="22"/>
      <c r="AI17" s="22"/>
      <c r="AJ17" s="22">
        <v>0.5</v>
      </c>
      <c r="AK17" s="22"/>
      <c r="AL17" s="493"/>
      <c r="AM17" s="428"/>
    </row>
    <row r="18" spans="1:39" ht="62.5" customHeight="1" thickBot="1" x14ac:dyDescent="0.4">
      <c r="A18" s="262">
        <v>3</v>
      </c>
      <c r="B18" s="262" t="s">
        <v>70</v>
      </c>
      <c r="C18" s="262" t="s">
        <v>82</v>
      </c>
      <c r="D18" s="262" t="s">
        <v>90</v>
      </c>
      <c r="E18" s="262" t="s">
        <v>91</v>
      </c>
      <c r="F18" s="280" t="s">
        <v>1389</v>
      </c>
      <c r="G18" s="262" t="s">
        <v>1390</v>
      </c>
      <c r="H18" s="262" t="s">
        <v>1405</v>
      </c>
      <c r="I18" s="262" t="s">
        <v>1406</v>
      </c>
      <c r="J18" s="262" t="s">
        <v>1393</v>
      </c>
      <c r="K18" s="262" t="s">
        <v>1393</v>
      </c>
      <c r="L18" s="262" t="s">
        <v>1394</v>
      </c>
      <c r="M18" s="262" t="s">
        <v>1395</v>
      </c>
      <c r="N18" s="262" t="s">
        <v>1396</v>
      </c>
      <c r="O18" s="262" t="s">
        <v>1395</v>
      </c>
      <c r="P18" s="262" t="s">
        <v>1374</v>
      </c>
      <c r="Q18" s="275" t="s">
        <v>1397</v>
      </c>
      <c r="R18" s="275" t="s">
        <v>1398</v>
      </c>
      <c r="S18" s="275" t="s">
        <v>1399</v>
      </c>
      <c r="T18" s="275" t="s">
        <v>1400</v>
      </c>
      <c r="U18" s="275" t="s">
        <v>1401</v>
      </c>
      <c r="V18" s="15" t="s">
        <v>68</v>
      </c>
      <c r="W18" s="16">
        <f>+(W19*X18)</f>
        <v>0</v>
      </c>
      <c r="X18" s="17">
        <f t="shared" si="1"/>
        <v>0</v>
      </c>
      <c r="Y18" s="18"/>
      <c r="Z18" s="18"/>
      <c r="AA18" s="18"/>
      <c r="AB18" s="18"/>
      <c r="AC18" s="18"/>
      <c r="AD18" s="18"/>
      <c r="AE18" s="18"/>
      <c r="AF18" s="18"/>
      <c r="AG18" s="19"/>
      <c r="AH18" s="19"/>
      <c r="AI18" s="19"/>
      <c r="AJ18" s="19"/>
      <c r="AK18" s="19"/>
      <c r="AL18" s="492"/>
      <c r="AM18" s="496"/>
    </row>
    <row r="19" spans="1:39" ht="62.5" customHeight="1" thickBot="1" x14ac:dyDescent="0.4">
      <c r="A19" s="263"/>
      <c r="B19" s="263"/>
      <c r="C19" s="263"/>
      <c r="D19" s="263"/>
      <c r="E19" s="263"/>
      <c r="F19" s="281"/>
      <c r="G19" s="263"/>
      <c r="H19" s="263"/>
      <c r="I19" s="263"/>
      <c r="J19" s="263"/>
      <c r="K19" s="263"/>
      <c r="L19" s="263"/>
      <c r="M19" s="263"/>
      <c r="N19" s="263"/>
      <c r="O19" s="263"/>
      <c r="P19" s="263"/>
      <c r="Q19" s="277"/>
      <c r="R19" s="277"/>
      <c r="S19" s="277"/>
      <c r="T19" s="277"/>
      <c r="U19" s="277"/>
      <c r="V19" s="15" t="s">
        <v>69</v>
      </c>
      <c r="W19" s="21">
        <f>100%/8</f>
        <v>0.125</v>
      </c>
      <c r="X19" s="17">
        <f t="shared" si="1"/>
        <v>1</v>
      </c>
      <c r="Y19" s="22"/>
      <c r="Z19" s="22"/>
      <c r="AA19" s="22"/>
      <c r="AB19" s="22"/>
      <c r="AC19" s="22"/>
      <c r="AD19" s="22">
        <v>0.5</v>
      </c>
      <c r="AE19" s="22"/>
      <c r="AF19" s="22"/>
      <c r="AG19" s="22"/>
      <c r="AH19" s="22"/>
      <c r="AI19" s="22"/>
      <c r="AJ19" s="22">
        <v>0.5</v>
      </c>
      <c r="AK19" s="22"/>
      <c r="AL19" s="493"/>
      <c r="AM19" s="428"/>
    </row>
    <row r="20" spans="1:39" ht="62.5" customHeight="1" thickBot="1" x14ac:dyDescent="0.4">
      <c r="A20" s="262">
        <v>4</v>
      </c>
      <c r="B20" s="262" t="s">
        <v>70</v>
      </c>
      <c r="C20" s="262" t="s">
        <v>98</v>
      </c>
      <c r="D20" s="262" t="s">
        <v>90</v>
      </c>
      <c r="E20" s="262" t="s">
        <v>91</v>
      </c>
      <c r="F20" s="280" t="s">
        <v>1389</v>
      </c>
      <c r="G20" s="262" t="s">
        <v>1407</v>
      </c>
      <c r="H20" s="262" t="s">
        <v>1408</v>
      </c>
      <c r="I20" s="262" t="s">
        <v>1409</v>
      </c>
      <c r="J20" s="262" t="s">
        <v>1393</v>
      </c>
      <c r="K20" s="262" t="s">
        <v>1393</v>
      </c>
      <c r="L20" s="262" t="s">
        <v>1410</v>
      </c>
      <c r="M20" s="262" t="s">
        <v>1411</v>
      </c>
      <c r="N20" s="262" t="s">
        <v>1396</v>
      </c>
      <c r="O20" s="262" t="s">
        <v>1411</v>
      </c>
      <c r="P20" s="262" t="s">
        <v>1374</v>
      </c>
      <c r="Q20" s="275" t="s">
        <v>1412</v>
      </c>
      <c r="R20" s="275" t="s">
        <v>1398</v>
      </c>
      <c r="S20" s="275" t="s">
        <v>1399</v>
      </c>
      <c r="T20" s="275" t="s">
        <v>1400</v>
      </c>
      <c r="U20" s="275" t="s">
        <v>1401</v>
      </c>
      <c r="V20" s="15" t="s">
        <v>68</v>
      </c>
      <c r="W20" s="16">
        <f>+(W21*X20)</f>
        <v>0</v>
      </c>
      <c r="X20" s="17">
        <f t="shared" si="1"/>
        <v>0</v>
      </c>
      <c r="Y20" s="18"/>
      <c r="Z20" s="18"/>
      <c r="AA20" s="18"/>
      <c r="AB20" s="18"/>
      <c r="AC20" s="18"/>
      <c r="AD20" s="18"/>
      <c r="AE20" s="18"/>
      <c r="AF20" s="18"/>
      <c r="AG20" s="19"/>
      <c r="AH20" s="19"/>
      <c r="AI20" s="19"/>
      <c r="AJ20" s="19"/>
      <c r="AK20" s="19"/>
      <c r="AL20" s="492"/>
      <c r="AM20" s="428"/>
    </row>
    <row r="21" spans="1:39" ht="62.5" customHeight="1" thickBot="1" x14ac:dyDescent="0.4">
      <c r="A21" s="263"/>
      <c r="B21" s="263"/>
      <c r="C21" s="263"/>
      <c r="D21" s="263"/>
      <c r="E21" s="263"/>
      <c r="F21" s="281"/>
      <c r="G21" s="263"/>
      <c r="H21" s="263"/>
      <c r="I21" s="263"/>
      <c r="J21" s="263"/>
      <c r="K21" s="263"/>
      <c r="L21" s="263"/>
      <c r="M21" s="263"/>
      <c r="N21" s="263"/>
      <c r="O21" s="263"/>
      <c r="P21" s="263"/>
      <c r="Q21" s="277"/>
      <c r="R21" s="277"/>
      <c r="S21" s="277"/>
      <c r="T21" s="277"/>
      <c r="U21" s="277"/>
      <c r="V21" s="15" t="s">
        <v>69</v>
      </c>
      <c r="W21" s="21">
        <f>100%/8</f>
        <v>0.125</v>
      </c>
      <c r="X21" s="17">
        <f t="shared" si="1"/>
        <v>1</v>
      </c>
      <c r="Y21" s="22"/>
      <c r="Z21" s="22"/>
      <c r="AA21" s="22"/>
      <c r="AB21" s="22"/>
      <c r="AC21" s="22"/>
      <c r="AD21" s="22">
        <v>0.5</v>
      </c>
      <c r="AE21" s="22"/>
      <c r="AF21" s="22"/>
      <c r="AG21" s="22"/>
      <c r="AH21" s="22"/>
      <c r="AI21" s="22"/>
      <c r="AJ21" s="22">
        <v>0.5</v>
      </c>
      <c r="AK21" s="22"/>
      <c r="AL21" s="493"/>
      <c r="AM21" s="429"/>
    </row>
    <row r="22" spans="1:39" ht="62.5" customHeight="1" thickBot="1" x14ac:dyDescent="0.4">
      <c r="A22" s="262">
        <v>5</v>
      </c>
      <c r="B22" s="262" t="s">
        <v>70</v>
      </c>
      <c r="C22" s="262" t="s">
        <v>122</v>
      </c>
      <c r="D22" s="262" t="s">
        <v>90</v>
      </c>
      <c r="E22" s="262" t="s">
        <v>91</v>
      </c>
      <c r="F22" s="280" t="s">
        <v>1389</v>
      </c>
      <c r="G22" s="262" t="s">
        <v>1390</v>
      </c>
      <c r="H22" s="262" t="s">
        <v>1413</v>
      </c>
      <c r="I22" s="262" t="s">
        <v>1414</v>
      </c>
      <c r="J22" s="262" t="s">
        <v>1393</v>
      </c>
      <c r="K22" s="262" t="s">
        <v>1393</v>
      </c>
      <c r="L22" s="262" t="s">
        <v>1394</v>
      </c>
      <c r="M22" s="262" t="s">
        <v>1395</v>
      </c>
      <c r="N22" s="262" t="s">
        <v>1396</v>
      </c>
      <c r="O22" s="262" t="s">
        <v>1395</v>
      </c>
      <c r="P22" s="262" t="s">
        <v>1374</v>
      </c>
      <c r="Q22" s="275" t="s">
        <v>1397</v>
      </c>
      <c r="R22" s="275" t="s">
        <v>1398</v>
      </c>
      <c r="S22" s="275" t="s">
        <v>1399</v>
      </c>
      <c r="T22" s="275" t="s">
        <v>1400</v>
      </c>
      <c r="U22" s="275" t="s">
        <v>1401</v>
      </c>
      <c r="V22" s="15" t="s">
        <v>68</v>
      </c>
      <c r="W22" s="16">
        <f>+(W23*X22)</f>
        <v>0</v>
      </c>
      <c r="X22" s="17">
        <f t="shared" si="0"/>
        <v>0</v>
      </c>
      <c r="Y22" s="25"/>
      <c r="Z22" s="25"/>
      <c r="AA22" s="25"/>
      <c r="AB22" s="18"/>
      <c r="AC22" s="18"/>
      <c r="AD22" s="18"/>
      <c r="AE22" s="18"/>
      <c r="AF22" s="18"/>
      <c r="AG22" s="19"/>
      <c r="AH22" s="19"/>
      <c r="AI22" s="19"/>
      <c r="AJ22" s="19"/>
      <c r="AK22" s="19"/>
      <c r="AL22" s="492"/>
      <c r="AM22" s="428"/>
    </row>
    <row r="23" spans="1:39" ht="62.5" customHeight="1" thickBot="1" x14ac:dyDescent="0.4">
      <c r="A23" s="263"/>
      <c r="B23" s="263"/>
      <c r="C23" s="263"/>
      <c r="D23" s="263"/>
      <c r="E23" s="263"/>
      <c r="F23" s="281"/>
      <c r="G23" s="263"/>
      <c r="H23" s="263"/>
      <c r="I23" s="263"/>
      <c r="J23" s="263"/>
      <c r="K23" s="263"/>
      <c r="L23" s="263"/>
      <c r="M23" s="263"/>
      <c r="N23" s="263"/>
      <c r="O23" s="263"/>
      <c r="P23" s="263"/>
      <c r="Q23" s="277"/>
      <c r="R23" s="277"/>
      <c r="S23" s="277"/>
      <c r="T23" s="277"/>
      <c r="U23" s="277"/>
      <c r="V23" s="15" t="s">
        <v>69</v>
      </c>
      <c r="W23" s="21">
        <f>100%/8</f>
        <v>0.125</v>
      </c>
      <c r="X23" s="17">
        <v>1</v>
      </c>
      <c r="Y23" s="22"/>
      <c r="Z23" s="22"/>
      <c r="AA23" s="22"/>
      <c r="AB23" s="22"/>
      <c r="AC23" s="22"/>
      <c r="AD23" s="22">
        <v>0.5</v>
      </c>
      <c r="AE23" s="22"/>
      <c r="AF23" s="22"/>
      <c r="AG23" s="22"/>
      <c r="AH23" s="22"/>
      <c r="AI23" s="22"/>
      <c r="AJ23" s="22">
        <v>0.5</v>
      </c>
      <c r="AK23" s="22"/>
      <c r="AL23" s="493"/>
      <c r="AM23" s="429"/>
    </row>
    <row r="24" spans="1:39" ht="62.5" customHeight="1" thickBot="1" x14ac:dyDescent="0.4">
      <c r="A24" s="262">
        <v>6</v>
      </c>
      <c r="B24" s="262" t="s">
        <v>70</v>
      </c>
      <c r="C24" s="262" t="s">
        <v>89</v>
      </c>
      <c r="D24" s="262" t="s">
        <v>90</v>
      </c>
      <c r="E24" s="262" t="s">
        <v>91</v>
      </c>
      <c r="F24" s="280" t="s">
        <v>1389</v>
      </c>
      <c r="G24" s="262" t="s">
        <v>1402</v>
      </c>
      <c r="H24" s="262" t="s">
        <v>1415</v>
      </c>
      <c r="I24" s="262" t="s">
        <v>1416</v>
      </c>
      <c r="J24" s="262" t="s">
        <v>1393</v>
      </c>
      <c r="K24" s="262" t="s">
        <v>1393</v>
      </c>
      <c r="L24" s="262" t="s">
        <v>1394</v>
      </c>
      <c r="M24" s="262" t="s">
        <v>1395</v>
      </c>
      <c r="N24" s="262" t="s">
        <v>1396</v>
      </c>
      <c r="O24" s="262" t="s">
        <v>1395</v>
      </c>
      <c r="P24" s="262" t="s">
        <v>1374</v>
      </c>
      <c r="Q24" s="275" t="s">
        <v>1397</v>
      </c>
      <c r="R24" s="275" t="s">
        <v>1398</v>
      </c>
      <c r="S24" s="275" t="s">
        <v>1399</v>
      </c>
      <c r="T24" s="275" t="s">
        <v>1400</v>
      </c>
      <c r="U24" s="275" t="s">
        <v>1401</v>
      </c>
      <c r="V24" s="15" t="s">
        <v>68</v>
      </c>
      <c r="W24" s="16">
        <f>+(W25*X24)</f>
        <v>0</v>
      </c>
      <c r="X24" s="17">
        <f t="shared" si="0"/>
        <v>0</v>
      </c>
      <c r="Y24" s="26"/>
      <c r="Z24" s="26"/>
      <c r="AA24" s="26"/>
      <c r="AB24" s="18"/>
      <c r="AC24" s="18"/>
      <c r="AD24" s="18"/>
      <c r="AE24" s="18"/>
      <c r="AF24" s="18"/>
      <c r="AG24" s="19"/>
      <c r="AH24" s="19"/>
      <c r="AI24" s="19"/>
      <c r="AJ24" s="19"/>
      <c r="AK24" s="19"/>
      <c r="AL24" s="492"/>
      <c r="AM24" s="494"/>
    </row>
    <row r="25" spans="1:39" ht="62.5" customHeight="1" thickBot="1" x14ac:dyDescent="0.4">
      <c r="A25" s="263"/>
      <c r="B25" s="263"/>
      <c r="C25" s="263"/>
      <c r="D25" s="263"/>
      <c r="E25" s="263"/>
      <c r="F25" s="281"/>
      <c r="G25" s="263"/>
      <c r="H25" s="263"/>
      <c r="I25" s="263"/>
      <c r="J25" s="263"/>
      <c r="K25" s="263"/>
      <c r="L25" s="263"/>
      <c r="M25" s="263"/>
      <c r="N25" s="263"/>
      <c r="O25" s="263"/>
      <c r="P25" s="263"/>
      <c r="Q25" s="277"/>
      <c r="R25" s="277"/>
      <c r="S25" s="277"/>
      <c r="T25" s="277"/>
      <c r="U25" s="277"/>
      <c r="V25" s="15" t="s">
        <v>69</v>
      </c>
      <c r="W25" s="21">
        <f>100%/8</f>
        <v>0.125</v>
      </c>
      <c r="X25" s="17">
        <f t="shared" si="0"/>
        <v>1</v>
      </c>
      <c r="Y25" s="22"/>
      <c r="Z25" s="22"/>
      <c r="AA25" s="22"/>
      <c r="AB25" s="22"/>
      <c r="AC25" s="22"/>
      <c r="AD25" s="22">
        <v>0.5</v>
      </c>
      <c r="AE25" s="22"/>
      <c r="AF25" s="22"/>
      <c r="AG25" s="22"/>
      <c r="AH25" s="22"/>
      <c r="AI25" s="22"/>
      <c r="AJ25" s="22">
        <v>0.5</v>
      </c>
      <c r="AK25" s="22"/>
      <c r="AL25" s="493"/>
      <c r="AM25" s="495"/>
    </row>
    <row r="26" spans="1:39" ht="62.5" customHeight="1" thickBot="1" x14ac:dyDescent="0.4">
      <c r="A26" s="262">
        <v>7</v>
      </c>
      <c r="B26" s="262" t="s">
        <v>70</v>
      </c>
      <c r="C26" s="262" t="s">
        <v>98</v>
      </c>
      <c r="D26" s="262" t="s">
        <v>90</v>
      </c>
      <c r="E26" s="262" t="s">
        <v>91</v>
      </c>
      <c r="F26" s="272" t="s">
        <v>1389</v>
      </c>
      <c r="G26" s="262" t="s">
        <v>1407</v>
      </c>
      <c r="H26" s="262" t="s">
        <v>1417</v>
      </c>
      <c r="I26" s="262" t="s">
        <v>1418</v>
      </c>
      <c r="J26" s="262" t="s">
        <v>1393</v>
      </c>
      <c r="K26" s="262" t="s">
        <v>1393</v>
      </c>
      <c r="L26" s="262" t="s">
        <v>1394</v>
      </c>
      <c r="M26" s="262" t="s">
        <v>1395</v>
      </c>
      <c r="N26" s="262" t="s">
        <v>1396</v>
      </c>
      <c r="O26" s="262" t="s">
        <v>1395</v>
      </c>
      <c r="P26" s="262" t="s">
        <v>1374</v>
      </c>
      <c r="Q26" s="275" t="s">
        <v>1397</v>
      </c>
      <c r="R26" s="275" t="s">
        <v>1398</v>
      </c>
      <c r="S26" s="275" t="s">
        <v>1399</v>
      </c>
      <c r="T26" s="275" t="s">
        <v>1400</v>
      </c>
      <c r="U26" s="275" t="s">
        <v>1401</v>
      </c>
      <c r="V26" s="15" t="s">
        <v>68</v>
      </c>
      <c r="W26" s="16">
        <f>+(W27*X26)</f>
        <v>0</v>
      </c>
      <c r="X26" s="17">
        <f>SUM(Y26:AK26)</f>
        <v>0</v>
      </c>
      <c r="Y26" s="25"/>
      <c r="Z26" s="25"/>
      <c r="AA26" s="25"/>
      <c r="AB26" s="25"/>
      <c r="AC26" s="25"/>
      <c r="AD26" s="194"/>
      <c r="AE26" s="25"/>
      <c r="AF26" s="25"/>
      <c r="AG26" s="25"/>
      <c r="AH26" s="25"/>
      <c r="AI26" s="25"/>
      <c r="AJ26" s="19"/>
      <c r="AK26" s="25"/>
      <c r="AL26" s="492"/>
      <c r="AM26" s="428"/>
    </row>
    <row r="27" spans="1:39" ht="62.5" customHeight="1" thickBot="1" x14ac:dyDescent="0.4">
      <c r="A27" s="263"/>
      <c r="B27" s="263"/>
      <c r="C27" s="263"/>
      <c r="D27" s="263"/>
      <c r="E27" s="263"/>
      <c r="F27" s="272"/>
      <c r="G27" s="263"/>
      <c r="H27" s="263"/>
      <c r="I27" s="263"/>
      <c r="J27" s="263"/>
      <c r="K27" s="263"/>
      <c r="L27" s="263"/>
      <c r="M27" s="263"/>
      <c r="N27" s="263"/>
      <c r="O27" s="263"/>
      <c r="P27" s="263"/>
      <c r="Q27" s="277"/>
      <c r="R27" s="277"/>
      <c r="S27" s="277"/>
      <c r="T27" s="277"/>
      <c r="U27" s="277"/>
      <c r="V27" s="15" t="s">
        <v>69</v>
      </c>
      <c r="W27" s="21">
        <f>100%/8</f>
        <v>0.125</v>
      </c>
      <c r="X27" s="17">
        <f>SUM(Y27:AK27)</f>
        <v>1</v>
      </c>
      <c r="Y27" s="22"/>
      <c r="Z27" s="22"/>
      <c r="AA27" s="22"/>
      <c r="AB27" s="22"/>
      <c r="AC27" s="22"/>
      <c r="AD27" s="22">
        <v>0.5</v>
      </c>
      <c r="AE27" s="22"/>
      <c r="AF27" s="22"/>
      <c r="AG27" s="22"/>
      <c r="AH27" s="22"/>
      <c r="AI27" s="22"/>
      <c r="AJ27" s="22">
        <v>0.5</v>
      </c>
      <c r="AK27" s="22"/>
      <c r="AL27" s="493"/>
      <c r="AM27" s="429"/>
    </row>
    <row r="28" spans="1:39" ht="62.5" customHeight="1" thickBot="1" x14ac:dyDescent="0.4">
      <c r="A28" s="262">
        <v>8</v>
      </c>
      <c r="B28" s="262" t="s">
        <v>70</v>
      </c>
      <c r="C28" s="262" t="s">
        <v>98</v>
      </c>
      <c r="D28" s="262" t="s">
        <v>90</v>
      </c>
      <c r="E28" s="262" t="s">
        <v>91</v>
      </c>
      <c r="F28" s="272" t="s">
        <v>1389</v>
      </c>
      <c r="G28" s="262" t="s">
        <v>1390</v>
      </c>
      <c r="H28" s="262" t="s">
        <v>1419</v>
      </c>
      <c r="I28" s="262" t="s">
        <v>1420</v>
      </c>
      <c r="J28" s="262" t="s">
        <v>1421</v>
      </c>
      <c r="K28" s="262" t="s">
        <v>1393</v>
      </c>
      <c r="L28" s="262" t="s">
        <v>1394</v>
      </c>
      <c r="M28" s="262" t="s">
        <v>1395</v>
      </c>
      <c r="N28" s="262" t="s">
        <v>1396</v>
      </c>
      <c r="O28" s="262" t="s">
        <v>1395</v>
      </c>
      <c r="P28" s="262" t="s">
        <v>1374</v>
      </c>
      <c r="Q28" s="275" t="s">
        <v>1422</v>
      </c>
      <c r="R28" s="275" t="s">
        <v>1398</v>
      </c>
      <c r="S28" s="275" t="s">
        <v>1399</v>
      </c>
      <c r="T28" s="275" t="s">
        <v>1400</v>
      </c>
      <c r="U28" s="275" t="s">
        <v>1401</v>
      </c>
      <c r="V28" s="15" t="s">
        <v>68</v>
      </c>
      <c r="W28" s="16">
        <f>+(W29*X28)</f>
        <v>0</v>
      </c>
      <c r="X28" s="17">
        <f>SUM(Y28:AK28)</f>
        <v>0</v>
      </c>
      <c r="Y28" s="25"/>
      <c r="Z28" s="25"/>
      <c r="AA28" s="25"/>
      <c r="AB28" s="25"/>
      <c r="AC28" s="25"/>
      <c r="AD28" s="194"/>
      <c r="AE28" s="25"/>
      <c r="AF28" s="25"/>
      <c r="AG28" s="25"/>
      <c r="AH28" s="25"/>
      <c r="AI28" s="25"/>
      <c r="AJ28" s="19"/>
      <c r="AK28" s="25"/>
      <c r="AL28" s="492"/>
      <c r="AM28" s="428"/>
    </row>
    <row r="29" spans="1:39" ht="62.5" customHeight="1" x14ac:dyDescent="0.35">
      <c r="A29" s="263"/>
      <c r="B29" s="263"/>
      <c r="C29" s="263"/>
      <c r="D29" s="263"/>
      <c r="E29" s="263"/>
      <c r="F29" s="272"/>
      <c r="G29" s="263"/>
      <c r="H29" s="263"/>
      <c r="I29" s="263"/>
      <c r="J29" s="263"/>
      <c r="K29" s="263"/>
      <c r="L29" s="263"/>
      <c r="M29" s="263"/>
      <c r="N29" s="263"/>
      <c r="O29" s="263"/>
      <c r="P29" s="263"/>
      <c r="Q29" s="277"/>
      <c r="R29" s="277"/>
      <c r="S29" s="277"/>
      <c r="T29" s="277"/>
      <c r="U29" s="277"/>
      <c r="V29" s="15" t="s">
        <v>69</v>
      </c>
      <c r="W29" s="21">
        <f>100%/8</f>
        <v>0.125</v>
      </c>
      <c r="X29" s="17">
        <f>SUM(Y29:AK29)</f>
        <v>1</v>
      </c>
      <c r="Y29" s="22"/>
      <c r="Z29" s="22"/>
      <c r="AA29" s="22"/>
      <c r="AB29" s="22"/>
      <c r="AC29" s="22"/>
      <c r="AD29" s="22">
        <v>0.5</v>
      </c>
      <c r="AE29" s="22"/>
      <c r="AF29" s="22"/>
      <c r="AG29" s="22"/>
      <c r="AH29" s="22"/>
      <c r="AI29" s="22"/>
      <c r="AJ29" s="22">
        <v>0.5</v>
      </c>
      <c r="AK29" s="22"/>
      <c r="AL29" s="493"/>
      <c r="AM29" s="429"/>
    </row>
    <row r="30" spans="1:39" ht="30" hidden="1" customHeight="1" x14ac:dyDescent="0.35">
      <c r="D30" s="264"/>
      <c r="E30" s="264"/>
      <c r="F30" s="30"/>
      <c r="H30" s="262"/>
      <c r="I30" s="36"/>
      <c r="J30" s="37"/>
      <c r="K30" s="38"/>
      <c r="L30" s="38"/>
      <c r="M30" s="38"/>
      <c r="N30" s="38"/>
      <c r="O30" s="38"/>
      <c r="P30" s="38"/>
      <c r="Q30" s="38"/>
      <c r="R30" s="38"/>
      <c r="S30" s="38"/>
      <c r="T30" s="38"/>
      <c r="U30" s="38"/>
      <c r="V30" s="38">
        <f>SUM(V29:V29)</f>
        <v>0</v>
      </c>
      <c r="W30" s="39"/>
      <c r="X30" s="38"/>
      <c r="Y30" s="38"/>
      <c r="Z30" s="40">
        <f>SUM(W29:Z29)</f>
        <v>1.125</v>
      </c>
      <c r="AA30" s="40"/>
      <c r="AB30" s="40"/>
      <c r="AC30" s="40"/>
      <c r="AD30" s="40">
        <f>SUM(AA29:AD29)</f>
        <v>0.5</v>
      </c>
      <c r="AE30" s="40"/>
      <c r="AF30" s="40"/>
      <c r="AG30" s="40"/>
      <c r="AH30" s="40">
        <f>SUM(AE29:AH29)</f>
        <v>0</v>
      </c>
      <c r="AI30" s="41"/>
      <c r="AJ30" s="40"/>
      <c r="AK30" s="42"/>
    </row>
    <row r="31" spans="1:39" ht="30" hidden="1" customHeight="1" x14ac:dyDescent="0.35">
      <c r="H31" s="263"/>
      <c r="I31" s="36"/>
      <c r="J31" s="43"/>
      <c r="K31" s="38"/>
      <c r="L31" s="38"/>
      <c r="M31" s="38"/>
      <c r="N31" s="38"/>
      <c r="O31" s="38"/>
      <c r="P31" s="38"/>
      <c r="Q31" s="38"/>
      <c r="R31" s="38"/>
      <c r="S31" s="38"/>
      <c r="T31" s="38"/>
      <c r="U31" s="38"/>
      <c r="V31" s="38" t="e">
        <f>+#REF!+V30</f>
        <v>#REF!</v>
      </c>
      <c r="W31" s="39"/>
      <c r="X31" s="38"/>
      <c r="Y31" s="38"/>
      <c r="Z31" s="44"/>
      <c r="AA31" s="40"/>
      <c r="AB31" s="40"/>
      <c r="AC31" s="40"/>
      <c r="AD31" s="40"/>
      <c r="AE31" s="40"/>
      <c r="AF31" s="40"/>
      <c r="AG31" s="40"/>
      <c r="AH31" s="40">
        <f>+Z30+AD30+AH30</f>
        <v>1.625</v>
      </c>
      <c r="AI31" s="41"/>
      <c r="AJ31" s="40"/>
      <c r="AK31" s="42"/>
    </row>
    <row r="32" spans="1:39" ht="30" hidden="1" customHeight="1" x14ac:dyDescent="0.35">
      <c r="H32" s="191"/>
      <c r="I32" s="45"/>
      <c r="J32" s="46"/>
      <c r="K32" s="47"/>
      <c r="L32" s="47"/>
      <c r="M32" s="47"/>
      <c r="N32" s="47"/>
      <c r="O32" s="47"/>
      <c r="P32" s="47"/>
      <c r="Q32" s="47"/>
      <c r="R32" s="47"/>
      <c r="S32" s="47"/>
      <c r="T32" s="47"/>
      <c r="U32" s="47"/>
      <c r="V32" s="47"/>
      <c r="W32" s="48"/>
      <c r="X32" s="47"/>
      <c r="Y32" s="47"/>
      <c r="Z32" s="49"/>
      <c r="AA32" s="50"/>
      <c r="AB32" s="50"/>
      <c r="AC32" s="50"/>
      <c r="AD32" s="50"/>
      <c r="AE32" s="50"/>
      <c r="AF32" s="50"/>
      <c r="AG32" s="50"/>
      <c r="AH32" s="50" t="e">
        <f>+V31+AH31</f>
        <v>#REF!</v>
      </c>
      <c r="AI32" s="51"/>
      <c r="AJ32" s="50"/>
      <c r="AK32" s="42"/>
    </row>
    <row r="33" spans="8:37" ht="30" hidden="1" customHeight="1" x14ac:dyDescent="0.35">
      <c r="H33" s="425" t="s">
        <v>306</v>
      </c>
      <c r="I33" s="36" t="s">
        <v>111</v>
      </c>
      <c r="J33" s="52" t="e">
        <f>SUM(O33:AJ33)</f>
        <v>#REF!</v>
      </c>
      <c r="K33" s="38"/>
      <c r="L33" s="38"/>
      <c r="M33" s="38"/>
      <c r="N33" s="38"/>
      <c r="O33" s="38" t="e">
        <f>+(AC15*$W$15)+(AC17*$W$17)+(AC19*$W$19)+(AC21*$W$21)+(#REF!*$W$23)+(AC26*$W$25)+(#REF!*$W$27)+(#REF!*#REF!)+(#REF!*#REF!)+(#REF!*#REF!)+(#REF!*#REF!)+(#REF!*#REF!)+(#REF!*#REF!)</f>
        <v>#REF!</v>
      </c>
      <c r="P33" s="38"/>
      <c r="Q33" s="38"/>
      <c r="R33" s="38"/>
      <c r="S33" s="38"/>
      <c r="T33" s="38"/>
      <c r="U33" s="38"/>
      <c r="V33" s="38" t="e">
        <f>+(AJ15*$W$15)+(AJ17*$W$17)+(AJ19*$W$19)+(AJ21*$W$21)+(#REF!*$W$23)+(AJ26*$W$25)+(#REF!*$W$27)+(#REF!*#REF!)+(#REF!*#REF!)+(#REF!*#REF!)+(#REF!*#REF!)+(#REF!*#REF!)+(#REF!*#REF!)</f>
        <v>#REF!</v>
      </c>
      <c r="W33" s="39" t="e">
        <f>+(#REF!*$W$15)+(#REF!*$W$17)+(#REF!*$W$19)+(#REF!*$W$21)+(#REF!*$W$23)+(#REF!*$W$25)+(#REF!*$W$27)+(#REF!*#REF!)+(#REF!*#REF!)+(#REF!*#REF!)+(#REF!*#REF!)+(#REF!*#REF!)+(#REF!*#REF!)</f>
        <v>#REF!</v>
      </c>
      <c r="X33" s="38" t="e">
        <f>+(#REF!*$W$15)+(#REF!*$W$17)+(#REF!*$W$19)+(#REF!*$W$21)+(#REF!*$W$23)+(#REF!*$W$25)+(#REF!*$W$27)+(#REF!*#REF!)+(#REF!*#REF!)+(#REF!*#REF!)+(#REF!*#REF!)+(#REF!*#REF!)+(#REF!*#REF!)</f>
        <v>#REF!</v>
      </c>
      <c r="Y33" s="38" t="e">
        <f>+(#REF!*$W$15)+(#REF!*$W$17)+(#REF!*$W$19)+(#REF!*$W$21)+(#REF!*$W$23)+(#REF!*$W$25)+(#REF!*$W$27)+(#REF!*#REF!)+(#REF!*#REF!)+(#REF!*#REF!)+(#REF!*#REF!)+(#REF!*#REF!)+(#REF!*#REF!)</f>
        <v>#REF!</v>
      </c>
      <c r="Z33" s="38" t="e">
        <f>+(#REF!*$W$15)+(#REF!*$W$17)+(#REF!*$W$19)+(#REF!*$W$21)+(#REF!*$W$23)+(#REF!*$W$25)+(Y26*$W$27)+(#REF!*#REF!)+(#REF!*#REF!)+(#REF!*#REF!)+(#REF!*#REF!)+(#REF!*#REF!)+(#REF!*#REF!)</f>
        <v>#REF!</v>
      </c>
      <c r="AA33" s="38" t="e">
        <f>+(#REF!*$W$15)+(#REF!*$W$17)+(#REF!*$W$19)+(#REF!*$W$21)+(#REF!*$W$23)+(#REF!*$W$25)+(#REF!*$W$27)+(#REF!*#REF!)+(#REF!*#REF!)+(#REF!*#REF!)+(#REF!*#REF!)+(#REF!*#REF!)+(#REF!*#REF!)</f>
        <v>#REF!</v>
      </c>
      <c r="AB33" s="38" t="e">
        <f>+(#REF!*$W$15)+(#REF!*$W$17)+(#REF!*$W$19)+(#REF!*$W$21)+(#REF!*$W$23)+(#REF!*$W$25)+(#REF!*$W$27)+(#REF!*#REF!)+(#REF!*#REF!)+(#REF!*#REF!)+(#REF!*#REF!)+(#REF!*#REF!)+(#REF!*#REF!)</f>
        <v>#REF!</v>
      </c>
      <c r="AC33" s="38" t="e">
        <f>+(#REF!*$W$15)+(#REF!*$W$17)+(#REF!*$W$19)+(#REF!*$W$21)+(#REF!*$W$23)+(#REF!*$W$25)+(#REF!*$W$27)+(#REF!*#REF!)+(#REF!*#REF!)+(#REF!*#REF!)+(#REF!*#REF!)+(#REF!*#REF!)+(#REF!*#REF!)</f>
        <v>#REF!</v>
      </c>
      <c r="AD33" s="38" t="e">
        <f>+(#REF!*$W$15)+(#REF!*$W$17)+(#REF!*$W$19)+(#REF!*$W$21)+(#REF!*$W$23)+(#REF!*$W$25)+(#REF!*$W$27)+(#REF!*#REF!)+(#REF!*#REF!)+(#REF!*#REF!)+(#REF!*#REF!)+(#REF!*#REF!)+(#REF!*#REF!)</f>
        <v>#REF!</v>
      </c>
      <c r="AE33" s="38" t="e">
        <f>+(#REF!*$W$15)+(#REF!*$W$17)+(#REF!*$W$19)+(#REF!*$W$21)+(#REF!*$W$23)+(#REF!*$W$25)+(#REF!*$W$27)+(#REF!*#REF!)+(#REF!*#REF!)+(#REF!*#REF!)+(#REF!*#REF!)+(#REF!*#REF!)+(#REF!*#REF!)</f>
        <v>#REF!</v>
      </c>
      <c r="AF33" s="38" t="e">
        <f>+(#REF!*$W$15)+(#REF!*$W$17)+(#REF!*$W$19)+(#REF!*$W$21)+(#REF!*$W$23)+(#REF!*$W$25)+(#REF!*$W$27)+(#REF!*#REF!)+(#REF!*#REF!)+(#REF!*#REF!)+(#REF!*#REF!)+(#REF!*#REF!)+(#REF!*#REF!)</f>
        <v>#REF!</v>
      </c>
      <c r="AG33" s="38" t="e">
        <f>+(#REF!*$W$15)+(#REF!*$W$17)+(#REF!*$W$19)+(#REF!*$W$21)+(#REF!*$W$23)+(#REF!*$W$25)+(#REF!*$W$27)+(#REF!*#REF!)+(#REF!*#REF!)+(#REF!*#REF!)+(#REF!*#REF!)+(#REF!*#REF!)+(#REF!*#REF!)</f>
        <v>#REF!</v>
      </c>
      <c r="AH33" s="38" t="e">
        <f>+(#REF!*$W$15)+(#REF!*$W$17)+(#REF!*$W$19)+(#REF!*$W$21)+(#REF!*$W$23)+(#REF!*$W$25)+(#REF!*$W$27)+(#REF!*#REF!)+(#REF!*#REF!)+(#REF!*#REF!)+(#REF!*#REF!)+(#REF!*#REF!)+(#REF!*#REF!)</f>
        <v>#REF!</v>
      </c>
      <c r="AI33" s="39" t="e">
        <f>+(#REF!*$W$15)+(#REF!*$W$17)+(#REF!*$W$19)+(#REF!*$W$21)+(#REF!*$W$23)+(#REF!*$W$25)+(#REF!*$W$27)+(#REF!*#REF!)+(#REF!*#REF!)+(#REF!*#REF!)+(#REF!*#REF!)+(#REF!*#REF!)+(#REF!*#REF!)</f>
        <v>#REF!</v>
      </c>
      <c r="AJ33" s="38" t="e">
        <f>+(#REF!*$W$15)+(#REF!*$W$17)+(#REF!*$W$19)+(#REF!*$W$21)+(#REF!*$W$23)+(#REF!*$W$25)+(#REF!*$W$27)+(#REF!*#REF!)+(#REF!*#REF!)+(#REF!*#REF!)+(#REF!*#REF!)+(#REF!*#REF!)+(#REF!*#REF!)</f>
        <v>#REF!</v>
      </c>
      <c r="AK33" s="35"/>
    </row>
    <row r="34" spans="8:37" ht="30" hidden="1" customHeight="1" x14ac:dyDescent="0.35">
      <c r="H34" s="426"/>
      <c r="I34" s="36" t="s">
        <v>112</v>
      </c>
      <c r="J34" s="53"/>
      <c r="K34" s="38"/>
      <c r="L34" s="38"/>
      <c r="M34" s="38"/>
      <c r="N34" s="38"/>
      <c r="O34" s="38"/>
      <c r="P34" s="38"/>
      <c r="Q34" s="38"/>
      <c r="R34" s="38"/>
      <c r="S34" s="38"/>
      <c r="T34" s="38"/>
      <c r="U34" s="38"/>
      <c r="V34" s="38" t="e">
        <f>SUM(V33:V33)</f>
        <v>#REF!</v>
      </c>
      <c r="W34" s="39"/>
      <c r="X34" s="38"/>
      <c r="Y34" s="38"/>
      <c r="Z34" s="38" t="e">
        <f>SUM(W33:Z33)</f>
        <v>#REF!</v>
      </c>
      <c r="AA34" s="38"/>
      <c r="AB34" s="38"/>
      <c r="AC34" s="38"/>
      <c r="AD34" s="38" t="e">
        <f>SUM(AA33:AD33)</f>
        <v>#REF!</v>
      </c>
      <c r="AE34" s="38"/>
      <c r="AF34" s="38"/>
      <c r="AG34" s="38"/>
      <c r="AH34" s="38" t="e">
        <f>SUM(AE33:AH33)</f>
        <v>#REF!</v>
      </c>
      <c r="AI34" s="39"/>
      <c r="AJ34" s="38"/>
      <c r="AK34" s="35"/>
    </row>
    <row r="35" spans="8:37" ht="30" hidden="1" customHeight="1" x14ac:dyDescent="0.35">
      <c r="H35" s="426"/>
      <c r="I35" s="36" t="s">
        <v>113</v>
      </c>
      <c r="J35" s="43"/>
      <c r="K35" s="38"/>
      <c r="L35" s="38"/>
      <c r="M35" s="38"/>
      <c r="N35" s="38"/>
      <c r="O35" s="38"/>
      <c r="P35" s="38"/>
      <c r="Q35" s="38"/>
      <c r="R35" s="38"/>
      <c r="S35" s="38"/>
      <c r="T35" s="38"/>
      <c r="U35" s="38"/>
      <c r="V35" s="38" t="e">
        <f>+#REF!+V34</f>
        <v>#REF!</v>
      </c>
      <c r="W35" s="39"/>
      <c r="X35" s="38"/>
      <c r="Y35" s="38"/>
      <c r="Z35" s="44"/>
      <c r="AA35" s="40"/>
      <c r="AB35" s="40"/>
      <c r="AC35" s="40"/>
      <c r="AD35" s="40"/>
      <c r="AE35" s="40"/>
      <c r="AF35" s="40"/>
      <c r="AG35" s="40"/>
      <c r="AH35" s="40" t="e">
        <f>+Z34+AD34+AH34</f>
        <v>#REF!</v>
      </c>
      <c r="AI35" s="41"/>
      <c r="AJ35" s="40"/>
      <c r="AK35" s="42"/>
    </row>
    <row r="36" spans="8:37" ht="30" hidden="1" customHeight="1" x14ac:dyDescent="0.35">
      <c r="H36" s="427"/>
      <c r="I36" s="54" t="s">
        <v>114</v>
      </c>
      <c r="J36" s="46"/>
      <c r="K36" s="47"/>
      <c r="L36" s="47"/>
      <c r="M36" s="47"/>
      <c r="N36" s="47"/>
      <c r="O36" s="47"/>
      <c r="P36" s="47"/>
      <c r="Q36" s="47"/>
      <c r="R36" s="47"/>
      <c r="S36" s="47"/>
      <c r="T36" s="47"/>
      <c r="U36" s="47"/>
      <c r="V36" s="47"/>
      <c r="W36" s="48"/>
      <c r="X36" s="47"/>
      <c r="Y36" s="47"/>
      <c r="Z36" s="49"/>
      <c r="AA36" s="50"/>
      <c r="AB36" s="50"/>
      <c r="AC36" s="50"/>
      <c r="AD36" s="50"/>
      <c r="AE36" s="50"/>
      <c r="AF36" s="50"/>
      <c r="AG36" s="50"/>
      <c r="AH36" s="50" t="e">
        <f>+V35+AH35</f>
        <v>#REF!</v>
      </c>
      <c r="AI36" s="51"/>
      <c r="AJ36" s="55"/>
      <c r="AK36" s="42"/>
    </row>
    <row r="37" spans="8:37" ht="30" hidden="1" customHeight="1" x14ac:dyDescent="0.35">
      <c r="H37" s="79"/>
      <c r="I37" s="265" t="s">
        <v>115</v>
      </c>
      <c r="J37" s="265"/>
      <c r="K37" s="56"/>
      <c r="L37" s="56"/>
      <c r="M37" s="56"/>
      <c r="N37" s="56"/>
      <c r="O37" s="56" t="e">
        <f>+O29/O33</f>
        <v>#REF!</v>
      </c>
      <c r="P37" s="56"/>
      <c r="Q37" s="56"/>
      <c r="R37" s="56"/>
      <c r="S37" s="56"/>
      <c r="T37" s="56"/>
      <c r="U37" s="56"/>
      <c r="V37" s="57" t="e">
        <f>+(O29+#REF!+#REF!+#REF!+#REF!+#REF!+#REF!+V29)/(O33+#REF!+#REF!+#REF!+#REF!+#REF!+#REF!+V33)</f>
        <v>#REF!</v>
      </c>
      <c r="W37" s="58" t="e">
        <f>+(O29+#REF!+#REF!+#REF!+#REF!+#REF!+#REF!+V29+W29)/(O33+#REF!+#REF!+#REF!+#REF!+#REF!+#REF!+V33+W33)</f>
        <v>#REF!</v>
      </c>
      <c r="X37" s="56" t="e">
        <f>+(O29+#REF!+#REF!+#REF!+#REF!+#REF!+#REF!+V29+W29+X29)/(O33+#REF!+#REF!+#REF!+#REF!+#REF!+#REF!+V33+W33+X33)</f>
        <v>#REF!</v>
      </c>
      <c r="Y37" s="56" t="e">
        <f>+(O29+#REF!+#REF!+#REF!+#REF!+#REF!+#REF!+V29+W29+X29+Y29)/(O33+#REF!+#REF!+#REF!+#REF!+#REF!+#REF!+V33+W33+X33+Y33)</f>
        <v>#REF!</v>
      </c>
      <c r="Z37" s="57" t="e">
        <f>+(O29+#REF!+#REF!+#REF!+#REF!+#REF!+#REF!+V29+W29+X29+Y29+Z29)/(O33+#REF!+#REF!+#REF!+#REF!+#REF!+#REF!+V33+W33+X33+Y33+Z33)</f>
        <v>#REF!</v>
      </c>
      <c r="AA37" s="56" t="e">
        <f>+(O29+#REF!+#REF!+#REF!+#REF!+#REF!+#REF!+V29+W29+X29+Y29+Z29+AA29)/(O33+#REF!+#REF!+#REF!+#REF!+#REF!+#REF!+V33+W33+X33+Y33+Z33+AA33)</f>
        <v>#REF!</v>
      </c>
      <c r="AB37" s="56" t="e">
        <f>+(O29+#REF!+#REF!+#REF!+#REF!+#REF!+#REF!+V29+W29+X29+Y29+Z29+AA29+AB29)/(O33+#REF!+#REF!+#REF!+#REF!+#REF!+#REF!+V33+W33+X33+Y33+Z33+AA33+AB33)</f>
        <v>#REF!</v>
      </c>
      <c r="AC37" s="56" t="e">
        <f>+(O29+#REF!+#REF!+#REF!+#REF!+#REF!+#REF!+V29+W29+X29+Y29+Z29+AA29+AB29+AC29)/(O33+#REF!+#REF!+#REF!+#REF!+#REF!+#REF!+V33+W33+X33+Y33+Z33+AA33+AB33+AC33)</f>
        <v>#REF!</v>
      </c>
      <c r="AD37" s="57" t="e">
        <f>+(O29+#REF!+#REF!+#REF!+#REF!+#REF!+#REF!+V29+W29+X29+Y29+Z29+AA29+AB29+AC29+AD29)/(O33+#REF!+#REF!+#REF!+#REF!+#REF!+#REF!+V33+W33+X33+Y33+Z33+AA33+AB33+AC33+AD33)</f>
        <v>#REF!</v>
      </c>
      <c r="AE37" s="56" t="e">
        <f>+(O29+#REF!+#REF!+#REF!+#REF!+#REF!+#REF!+V29+W29+X29+Y29+Z29+AA29+AB29+AC29+AD29+AE29)/(O33+#REF!+#REF!+#REF!+#REF!+#REF!+#REF!+V33+W33+X33+Y33+Z33+AA33+AB33+AC33+AD33+AE33)</f>
        <v>#REF!</v>
      </c>
      <c r="AF37" s="56" t="e">
        <f>+(O29+#REF!+#REF!+#REF!+#REF!+#REF!+#REF!+V29+W29+X29+Y29+Z29+AA29+AB29+AC29+AD29+AE29+AF29)/(O33+#REF!+#REF!+#REF!+#REF!+#REF!+#REF!+V33+W33+X33+Y33+Z33+AA33+AB33+AC33+AD33+AE33+AF33)</f>
        <v>#REF!</v>
      </c>
      <c r="AG37" s="56" t="e">
        <f>+(O29+#REF!+#REF!+#REF!+#REF!+#REF!+#REF!+V29+W29+X29+Y29+Z29+AA29+AB29+AC29+AD29+AE29+AF29+AG29)/(O33+#REF!+#REF!+#REF!+#REF!+#REF!+#REF!+V33+W33+X33+Y33+Z33+AA33+AB33+AC33+AD33+AE33+AF33+AG33)</f>
        <v>#REF!</v>
      </c>
      <c r="AH37" s="57" t="e">
        <f>+(O29+#REF!+#REF!+#REF!+#REF!+#REF!+#REF!+V29+W29+X29+Y29+Z29+AA29+AB29+AC29+AD29+AE29+AF29+AG29+AH29)/(O33+#REF!+#REF!+#REF!+#REF!+#REF!+#REF!+V33+W33+X33+Y33+Z33+AA33+AB33+AC33+AD33+AE33+AF33+AG33+AH33)</f>
        <v>#REF!</v>
      </c>
      <c r="AI37" s="58" t="e">
        <f>+(O29+#REF!+#REF!+#REF!+#REF!+#REF!+#REF!+V29+W29+X29+Y29+Z29+AA29+AB29+AC29+AD29+AE29+AF29+AG29+AH29+AI29)/(O33+#REF!+#REF!+#REF!+#REF!+#REF!+#REF!+V33+W33+X33+Y33+Z33+AA33+AB33+AC33+AD33+AE33+AF33+AG33+AH33+AI33)</f>
        <v>#REF!</v>
      </c>
      <c r="AJ37" s="56" t="e">
        <f>+(O29+#REF!+#REF!+#REF!+#REF!+#REF!+#REF!+V29+W29+X29+Y29+Z29+AA29+AB29+AC29+AD29+AE29+AF29+AG29+AH29+AI29+AJ29)/(O33+#REF!+#REF!+#REF!+#REF!+#REF!+#REF!+V33+W33+X33+Y33+Z33+AA33+AB33+AC33+AD33+AE33+AF33+AG33+AH33+AI33+AJ33)</f>
        <v>#REF!</v>
      </c>
      <c r="AK37" s="59"/>
    </row>
    <row r="38" spans="8:37" ht="30" hidden="1" customHeight="1" x14ac:dyDescent="0.35">
      <c r="H38" s="79"/>
      <c r="I38" s="266" t="s">
        <v>116</v>
      </c>
      <c r="J38" s="266"/>
      <c r="K38" s="57"/>
      <c r="L38" s="57"/>
      <c r="M38" s="57"/>
      <c r="N38" s="57"/>
      <c r="O38" s="57" t="e">
        <f>+O29/$F$29</f>
        <v>#DIV/0!</v>
      </c>
      <c r="P38" s="57"/>
      <c r="Q38" s="57"/>
      <c r="R38" s="57"/>
      <c r="S38" s="57"/>
      <c r="T38" s="57"/>
      <c r="U38" s="57"/>
      <c r="V38" s="57" t="e">
        <f>+(O29+#REF!+#REF!+#REF!+#REF!+#REF!+#REF!+V29)/$F$29</f>
        <v>#REF!</v>
      </c>
      <c r="W38" s="60" t="e">
        <f>+(O29+#REF!+#REF!+#REF!+#REF!+#REF!+#REF!+V29+W29)/$F$29</f>
        <v>#REF!</v>
      </c>
      <c r="X38" s="57" t="e">
        <f>+(O29+#REF!+#REF!+#REF!+#REF!+#REF!+#REF!+V29+W29+X29)/$F$29</f>
        <v>#REF!</v>
      </c>
      <c r="Y38" s="57" t="e">
        <f>+(O29+#REF!+#REF!+#REF!+#REF!+#REF!+#REF!+V29+W29+X29+Y29)/$F$29</f>
        <v>#REF!</v>
      </c>
      <c r="Z38" s="57" t="e">
        <f>+(O29+#REF!+#REF!+#REF!+#REF!+#REF!+#REF!+V29+W29+X29+Y29+Z29)/$F$29</f>
        <v>#REF!</v>
      </c>
      <c r="AA38" s="57" t="e">
        <f>+(O29+#REF!+#REF!+#REF!+#REF!+#REF!+#REF!+V29+W29+X29+Y29+Z29+AA29)/$F$29</f>
        <v>#REF!</v>
      </c>
      <c r="AB38" s="57" t="e">
        <f>+(O29+#REF!+#REF!+#REF!+#REF!+#REF!+#REF!+V29+W29+X29+Y29+Z29+AA29+AB29)/$F$29</f>
        <v>#REF!</v>
      </c>
      <c r="AC38" s="57" t="e">
        <f>+(O29+#REF!+#REF!+#REF!+#REF!+#REF!+#REF!+V29+W29+X29+Y29+Z29+AA29+AB29+AC29)/$F$29</f>
        <v>#REF!</v>
      </c>
      <c r="AD38" s="57" t="e">
        <f>+(O29+#REF!+#REF!+#REF!+#REF!+#REF!+#REF!+V29+W29+X29+Y29+Z29+AA29+AB29+AC29+AD29)/$F$29</f>
        <v>#REF!</v>
      </c>
      <c r="AE38" s="57" t="e">
        <f>+(O29+#REF!+#REF!+#REF!+#REF!+#REF!+#REF!+V29+W29+X29+Y29+Z29+AA29+AB29+AC29+AD29+AE29)/$F$29</f>
        <v>#REF!</v>
      </c>
      <c r="AF38" s="57" t="e">
        <f>+(O29+#REF!+#REF!+#REF!+#REF!+#REF!+#REF!+V29+W29+X29+Y29+Z29+AA29+AB29+AC29+AD29+AE29+AF29)/$F$29</f>
        <v>#REF!</v>
      </c>
      <c r="AG38" s="57" t="e">
        <f>+(O29+#REF!+#REF!+#REF!+#REF!+#REF!+#REF!+V29+W29+X29+Y29+Z29+AA29+AB29+AC29+AD29+AE29+AF29+AG29)/$F$29</f>
        <v>#REF!</v>
      </c>
      <c r="AH38" s="57" t="e">
        <f>+(O29+#REF!+#REF!+#REF!+#REF!+#REF!+#REF!+V29+W29+X29+Y29+Z29+AA29+AB29+AC29+AD29+AE29+AF29+AG29+AH29)/$F$29</f>
        <v>#REF!</v>
      </c>
      <c r="AI38" s="60" t="e">
        <f>+(O29+#REF!+#REF!+#REF!+#REF!+#REF!+#REF!+V29+W29+X29+Y29+Z29+AA29+AB29+AC29+AD29+AE29+AF29+AG29+AH29+AI29)/$F$29</f>
        <v>#REF!</v>
      </c>
      <c r="AJ38" s="57" t="e">
        <f>+(O29+#REF!+#REF!+#REF!+#REF!+#REF!+#REF!+V29+W29+X29+Y29+Z29+AA29+AB29+AC29+AD29+AE29+AF29+AG29+AH29+AI29+AJ29)/$F$29</f>
        <v>#REF!</v>
      </c>
      <c r="AK38" s="61"/>
    </row>
    <row r="39" spans="8:37" ht="30" hidden="1" customHeight="1" x14ac:dyDescent="0.35">
      <c r="I39" s="265" t="s">
        <v>117</v>
      </c>
      <c r="J39" s="265"/>
      <c r="K39" s="62"/>
      <c r="L39" s="62"/>
      <c r="M39" s="62"/>
      <c r="N39" s="62"/>
      <c r="O39" s="62"/>
      <c r="P39" s="62"/>
      <c r="Q39" s="62"/>
      <c r="R39" s="62"/>
      <c r="S39" s="62"/>
      <c r="T39" s="62"/>
      <c r="U39" s="62"/>
      <c r="V39" s="57" t="e">
        <f>+V30/V34</f>
        <v>#REF!</v>
      </c>
      <c r="W39" s="63"/>
      <c r="X39" s="62"/>
      <c r="Y39" s="62"/>
      <c r="Z39" s="57" t="e">
        <f>+Z30/Z34</f>
        <v>#REF!</v>
      </c>
      <c r="AA39" s="62"/>
      <c r="AB39" s="62"/>
      <c r="AC39" s="62"/>
      <c r="AD39" s="57" t="e">
        <f>+AD30/AD34</f>
        <v>#REF!</v>
      </c>
      <c r="AE39" s="62"/>
      <c r="AF39" s="62"/>
      <c r="AG39" s="62"/>
      <c r="AH39" s="57" t="e">
        <f>+AH30/AH34</f>
        <v>#REF!</v>
      </c>
      <c r="AI39" s="63"/>
      <c r="AJ39" s="62"/>
      <c r="AK39" s="64"/>
    </row>
    <row r="40" spans="8:37" ht="30" hidden="1" customHeight="1" x14ac:dyDescent="0.35">
      <c r="I40" s="266" t="s">
        <v>118</v>
      </c>
      <c r="J40" s="266"/>
      <c r="K40" s="62"/>
      <c r="L40" s="62"/>
      <c r="M40" s="62"/>
      <c r="N40" s="62"/>
      <c r="O40" s="62"/>
      <c r="P40" s="62"/>
      <c r="Q40" s="62"/>
      <c r="R40" s="62"/>
      <c r="S40" s="62"/>
      <c r="T40" s="62"/>
      <c r="U40" s="62"/>
      <c r="V40" s="57" t="e">
        <f>+(#REF!+V30)/$F$29</f>
        <v>#REF!</v>
      </c>
      <c r="W40" s="63"/>
      <c r="X40" s="62"/>
      <c r="Y40" s="62"/>
      <c r="Z40" s="57" t="e">
        <f>+(#REF!+V30+Z30)/$F$29</f>
        <v>#REF!</v>
      </c>
      <c r="AA40" s="62"/>
      <c r="AB40" s="62"/>
      <c r="AC40" s="62"/>
      <c r="AD40" s="57" t="e">
        <f>+(#REF!+V30+Z30+AD30)/$F$29</f>
        <v>#REF!</v>
      </c>
      <c r="AE40" s="62"/>
      <c r="AF40" s="62"/>
      <c r="AG40" s="62"/>
      <c r="AH40" s="57" t="e">
        <f>+(#REF!+V30+Z30+AD30+AH30)/$F$29</f>
        <v>#REF!</v>
      </c>
      <c r="AI40" s="63"/>
      <c r="AJ40" s="62"/>
      <c r="AK40" s="64"/>
    </row>
    <row r="41" spans="8:37" ht="30" hidden="1" customHeight="1" x14ac:dyDescent="0.35">
      <c r="I41" s="265" t="s">
        <v>119</v>
      </c>
      <c r="J41" s="265"/>
      <c r="K41" s="62"/>
      <c r="L41" s="62"/>
      <c r="M41" s="62"/>
      <c r="N41" s="62"/>
      <c r="O41" s="62"/>
      <c r="P41" s="62"/>
      <c r="Q41" s="62"/>
      <c r="R41" s="62"/>
      <c r="S41" s="62"/>
      <c r="T41" s="62"/>
      <c r="U41" s="62"/>
      <c r="V41" s="57" t="e">
        <f>+(#REF!+V30)/(#REF!+V34)</f>
        <v>#REF!</v>
      </c>
      <c r="W41" s="63"/>
      <c r="X41" s="62"/>
      <c r="Y41" s="62"/>
      <c r="Z41" s="62"/>
      <c r="AA41" s="62"/>
      <c r="AB41" s="62"/>
      <c r="AC41" s="62"/>
      <c r="AD41" s="62"/>
      <c r="AE41" s="62"/>
      <c r="AF41" s="62"/>
      <c r="AG41" s="62"/>
      <c r="AH41" s="57" t="e">
        <f>+(#REF!+V30+Z30+AD30+AH30)/(#REF!+V34+Z34+AD34+AH34)</f>
        <v>#REF!</v>
      </c>
      <c r="AI41" s="63"/>
      <c r="AJ41" s="62"/>
      <c r="AK41" s="64"/>
    </row>
    <row r="42" spans="8:37" ht="30" hidden="1" customHeight="1" x14ac:dyDescent="0.35">
      <c r="I42" s="265" t="s">
        <v>120</v>
      </c>
      <c r="J42" s="265"/>
      <c r="K42" s="62"/>
      <c r="L42" s="62"/>
      <c r="M42" s="62"/>
      <c r="N42" s="62"/>
      <c r="O42" s="62"/>
      <c r="P42" s="62"/>
      <c r="Q42" s="62"/>
      <c r="R42" s="62"/>
      <c r="S42" s="62"/>
      <c r="T42" s="62"/>
      <c r="U42" s="62"/>
      <c r="V42" s="57" t="e">
        <f>+(#REF!+V30)/$F$29</f>
        <v>#REF!</v>
      </c>
      <c r="W42" s="63"/>
      <c r="X42" s="62"/>
      <c r="Y42" s="62"/>
      <c r="Z42" s="62"/>
      <c r="AA42" s="62"/>
      <c r="AB42" s="62"/>
      <c r="AC42" s="62"/>
      <c r="AD42" s="62"/>
      <c r="AE42" s="62"/>
      <c r="AF42" s="62"/>
      <c r="AG42" s="62"/>
      <c r="AH42" s="57" t="e">
        <f>+(+#REF!+V30+Z30+AD30+AH30)/$F$29</f>
        <v>#REF!</v>
      </c>
      <c r="AI42" s="63"/>
      <c r="AJ42" s="62"/>
      <c r="AK42" s="64"/>
    </row>
    <row r="43" spans="8:37" ht="15" hidden="1" customHeight="1" x14ac:dyDescent="0.35"/>
    <row r="44" spans="8:37" ht="35.15" hidden="1" customHeight="1" x14ac:dyDescent="0.35">
      <c r="H44" s="424" t="s">
        <v>307</v>
      </c>
      <c r="I44" s="424"/>
      <c r="J44" s="66" t="e">
        <f>+#REF!</f>
        <v>#REF!</v>
      </c>
      <c r="K44" s="67"/>
      <c r="L44" s="67"/>
      <c r="M44" s="67"/>
      <c r="N44" s="67"/>
      <c r="O44" s="67"/>
      <c r="P44" s="67"/>
      <c r="Q44" s="67"/>
      <c r="R44" s="67"/>
      <c r="S44" s="67"/>
      <c r="T44" s="67"/>
      <c r="U44" s="67"/>
    </row>
    <row r="45" spans="8:37" ht="35.15" hidden="1" customHeight="1" x14ac:dyDescent="0.35">
      <c r="H45" s="424" t="s">
        <v>308</v>
      </c>
      <c r="I45" s="424"/>
      <c r="J45" s="68">
        <f>+F29</f>
        <v>0</v>
      </c>
      <c r="K45" s="67"/>
      <c r="L45" s="67"/>
      <c r="M45" s="67"/>
      <c r="N45" s="67"/>
      <c r="O45" s="67"/>
      <c r="P45" s="67"/>
      <c r="Q45" s="67"/>
      <c r="R45" s="67"/>
      <c r="S45" s="67"/>
      <c r="T45" s="67"/>
      <c r="U45" s="67"/>
    </row>
    <row r="46" spans="8:37" ht="20.5" hidden="1" customHeight="1" thickBot="1" x14ac:dyDescent="0.4">
      <c r="H46" s="424" t="s">
        <v>309</v>
      </c>
      <c r="I46" s="424"/>
      <c r="J46" s="69" t="e">
        <f>+J44/J45</f>
        <v>#REF!</v>
      </c>
      <c r="K46" s="67"/>
      <c r="L46" s="67"/>
      <c r="M46" s="67"/>
      <c r="N46" s="67"/>
      <c r="O46" s="67"/>
      <c r="P46" s="67"/>
      <c r="Q46" s="67"/>
      <c r="R46" s="67"/>
      <c r="S46" s="67"/>
      <c r="T46" s="67"/>
      <c r="U46" s="67"/>
    </row>
    <row r="47" spans="8:37" ht="15" customHeight="1" x14ac:dyDescent="0.35">
      <c r="K47" s="67"/>
      <c r="L47" s="67"/>
      <c r="M47" s="67"/>
      <c r="N47" s="67"/>
      <c r="O47" s="67"/>
      <c r="P47" s="67"/>
      <c r="Q47" s="67"/>
      <c r="R47" s="67"/>
      <c r="S47" s="67"/>
      <c r="T47" s="67"/>
      <c r="U47" s="67"/>
    </row>
    <row r="48" spans="8:37" ht="15" customHeight="1" x14ac:dyDescent="0.35">
      <c r="K48" s="67"/>
      <c r="L48" s="67"/>
      <c r="M48" s="67"/>
      <c r="N48" s="67"/>
      <c r="O48" s="67"/>
      <c r="P48" s="67"/>
      <c r="Q48" s="67"/>
      <c r="R48" s="67"/>
      <c r="S48" s="67"/>
      <c r="T48" s="67"/>
      <c r="U48" s="67"/>
    </row>
    <row r="49" spans="2:21" ht="15" hidden="1" customHeight="1" x14ac:dyDescent="0.35">
      <c r="B49" s="270" t="s">
        <v>26</v>
      </c>
      <c r="C49" s="270" t="s">
        <v>27</v>
      </c>
      <c r="D49" s="270" t="s">
        <v>28</v>
      </c>
      <c r="E49" s="270" t="s">
        <v>29</v>
      </c>
      <c r="F49" s="270" t="s">
        <v>30</v>
      </c>
      <c r="G49" s="268" t="s">
        <v>31</v>
      </c>
      <c r="M49" s="268" t="s">
        <v>121</v>
      </c>
      <c r="N49" s="67"/>
      <c r="O49" s="67"/>
      <c r="P49" s="67"/>
      <c r="Q49" s="67"/>
      <c r="R49" s="67"/>
      <c r="S49" s="67"/>
      <c r="T49" s="67"/>
      <c r="U49" s="67"/>
    </row>
    <row r="50" spans="2:21" ht="15" hidden="1" customHeight="1" x14ac:dyDescent="0.35">
      <c r="B50" s="269"/>
      <c r="C50" s="269"/>
      <c r="D50" s="269"/>
      <c r="E50" s="269"/>
      <c r="F50" s="269"/>
      <c r="G50" s="269"/>
      <c r="M50" s="269"/>
    </row>
    <row r="51" spans="2:21" ht="15" hidden="1" customHeight="1" x14ac:dyDescent="0.35">
      <c r="B51" s="13" t="s">
        <v>70</v>
      </c>
      <c r="C51" s="13" t="s">
        <v>122</v>
      </c>
      <c r="D51" s="13" t="s">
        <v>90</v>
      </c>
      <c r="E51" s="13" t="s">
        <v>91</v>
      </c>
      <c r="F51" s="13" t="s">
        <v>123</v>
      </c>
      <c r="G51" s="13" t="s">
        <v>124</v>
      </c>
      <c r="M51" s="13" t="s">
        <v>125</v>
      </c>
    </row>
    <row r="52" spans="2:21" ht="15" hidden="1" customHeight="1" x14ac:dyDescent="0.35">
      <c r="B52" s="13" t="s">
        <v>94</v>
      </c>
      <c r="C52" s="13" t="s">
        <v>89</v>
      </c>
      <c r="D52" s="13" t="s">
        <v>126</v>
      </c>
      <c r="E52" s="13" t="s">
        <v>127</v>
      </c>
      <c r="F52" s="13" t="s">
        <v>128</v>
      </c>
      <c r="G52" s="13" t="s">
        <v>129</v>
      </c>
      <c r="M52" s="13" t="s">
        <v>67</v>
      </c>
    </row>
    <row r="53" spans="2:21" ht="15" hidden="1" customHeight="1" x14ac:dyDescent="0.35">
      <c r="B53" s="13" t="s">
        <v>58</v>
      </c>
      <c r="C53" s="13" t="s">
        <v>77</v>
      </c>
      <c r="D53" s="13" t="s">
        <v>60</v>
      </c>
      <c r="E53" s="13" t="s">
        <v>130</v>
      </c>
      <c r="F53" s="13" t="s">
        <v>131</v>
      </c>
      <c r="G53" s="13" t="s">
        <v>132</v>
      </c>
      <c r="M53" s="13" t="s">
        <v>133</v>
      </c>
    </row>
    <row r="54" spans="2:21" ht="15" hidden="1" customHeight="1" x14ac:dyDescent="0.35">
      <c r="B54" s="13" t="s">
        <v>76</v>
      </c>
      <c r="C54" s="13" t="s">
        <v>82</v>
      </c>
      <c r="D54" s="13" t="s">
        <v>134</v>
      </c>
      <c r="E54" s="13" t="s">
        <v>135</v>
      </c>
      <c r="F54" s="13" t="s">
        <v>136</v>
      </c>
      <c r="G54" s="13" t="s">
        <v>137</v>
      </c>
    </row>
    <row r="55" spans="2:21" ht="15" hidden="1" customHeight="1" x14ac:dyDescent="0.35">
      <c r="B55" s="13" t="s">
        <v>81</v>
      </c>
      <c r="C55" s="13" t="s">
        <v>98</v>
      </c>
      <c r="D55" s="13" t="s">
        <v>71</v>
      </c>
      <c r="E55" s="13" t="s">
        <v>138</v>
      </c>
      <c r="F55" s="13" t="s">
        <v>139</v>
      </c>
      <c r="G55" s="13" t="s">
        <v>140</v>
      </c>
    </row>
    <row r="56" spans="2:21" ht="15" hidden="1" customHeight="1" x14ac:dyDescent="0.35">
      <c r="B56" s="13" t="s">
        <v>141</v>
      </c>
      <c r="C56" s="13" t="s">
        <v>142</v>
      </c>
      <c r="D56" s="13" t="s">
        <v>78</v>
      </c>
      <c r="E56" s="13" t="s">
        <v>104</v>
      </c>
      <c r="F56" s="13" t="s">
        <v>143</v>
      </c>
      <c r="G56" s="13" t="s">
        <v>87</v>
      </c>
    </row>
    <row r="57" spans="2:21" ht="15" hidden="1" customHeight="1" x14ac:dyDescent="0.35">
      <c r="B57" s="13" t="s">
        <v>144</v>
      </c>
      <c r="C57" s="13" t="s">
        <v>145</v>
      </c>
      <c r="D57" s="13" t="s">
        <v>146</v>
      </c>
      <c r="E57" s="13" t="s">
        <v>83</v>
      </c>
      <c r="F57" s="13" t="s">
        <v>147</v>
      </c>
      <c r="G57" s="13" t="s">
        <v>148</v>
      </c>
    </row>
    <row r="58" spans="2:21" ht="15" hidden="1" customHeight="1" x14ac:dyDescent="0.35">
      <c r="B58" s="13" t="s">
        <v>149</v>
      </c>
      <c r="C58" s="13" t="s">
        <v>150</v>
      </c>
      <c r="E58" s="13" t="s">
        <v>86</v>
      </c>
      <c r="F58" s="13" t="s">
        <v>151</v>
      </c>
      <c r="G58" s="13" t="s">
        <v>105</v>
      </c>
    </row>
    <row r="59" spans="2:21" ht="15" hidden="1" customHeight="1" x14ac:dyDescent="0.35">
      <c r="C59" s="13" t="s">
        <v>103</v>
      </c>
      <c r="E59" s="13" t="s">
        <v>95</v>
      </c>
      <c r="F59" s="13" t="s">
        <v>152</v>
      </c>
      <c r="G59" s="13" t="s">
        <v>73</v>
      </c>
    </row>
    <row r="60" spans="2:21" ht="15" hidden="1" customHeight="1" x14ac:dyDescent="0.35">
      <c r="C60" s="13" t="s">
        <v>59</v>
      </c>
      <c r="E60" s="13" t="s">
        <v>153</v>
      </c>
      <c r="F60" s="13" t="s">
        <v>154</v>
      </c>
      <c r="G60" s="13" t="s">
        <v>92</v>
      </c>
    </row>
    <row r="61" spans="2:21" ht="15" hidden="1" customHeight="1" x14ac:dyDescent="0.35">
      <c r="E61" s="13" t="s">
        <v>155</v>
      </c>
      <c r="F61" s="13" t="s">
        <v>156</v>
      </c>
      <c r="G61" s="13" t="s">
        <v>100</v>
      </c>
    </row>
    <row r="62" spans="2:21" ht="15" hidden="1" customHeight="1" x14ac:dyDescent="0.35">
      <c r="E62" s="13" t="s">
        <v>157</v>
      </c>
      <c r="F62" s="13" t="s">
        <v>158</v>
      </c>
      <c r="G62" s="13" t="s">
        <v>159</v>
      </c>
    </row>
    <row r="63" spans="2:21" ht="15" hidden="1" customHeight="1" x14ac:dyDescent="0.35">
      <c r="E63" s="13" t="s">
        <v>61</v>
      </c>
      <c r="G63" s="13" t="s">
        <v>160</v>
      </c>
    </row>
    <row r="64" spans="2:21" ht="15" hidden="1" customHeight="1" x14ac:dyDescent="0.35">
      <c r="E64" s="13" t="s">
        <v>161</v>
      </c>
      <c r="G64" s="13" t="s">
        <v>162</v>
      </c>
    </row>
    <row r="65" spans="5:7" ht="15" hidden="1" customHeight="1" x14ac:dyDescent="0.35">
      <c r="E65" s="13" t="s">
        <v>72</v>
      </c>
      <c r="G65" s="13" t="s">
        <v>163</v>
      </c>
    </row>
    <row r="66" spans="5:7" ht="15" hidden="1" customHeight="1" x14ac:dyDescent="0.35">
      <c r="E66" s="13" t="s">
        <v>99</v>
      </c>
      <c r="G66" s="13" t="s">
        <v>164</v>
      </c>
    </row>
    <row r="67" spans="5:7" ht="15" hidden="1" customHeight="1" x14ac:dyDescent="0.35">
      <c r="E67" s="13" t="s">
        <v>165</v>
      </c>
      <c r="G67" s="13" t="s">
        <v>166</v>
      </c>
    </row>
    <row r="68" spans="5:7" ht="15" hidden="1" customHeight="1" x14ac:dyDescent="0.35">
      <c r="E68" s="13" t="s">
        <v>79</v>
      </c>
      <c r="G68" s="13" t="s">
        <v>167</v>
      </c>
    </row>
    <row r="69" spans="5:7" ht="15" hidden="1" customHeight="1" x14ac:dyDescent="0.35">
      <c r="E69" s="13" t="s">
        <v>168</v>
      </c>
      <c r="G69" s="13" t="s">
        <v>169</v>
      </c>
    </row>
    <row r="70" spans="5:7" ht="15" hidden="1" customHeight="1" x14ac:dyDescent="0.35">
      <c r="G70" s="13" t="s">
        <v>170</v>
      </c>
    </row>
    <row r="71" spans="5:7" ht="15" hidden="1" customHeight="1" x14ac:dyDescent="0.35">
      <c r="G71" s="13" t="s">
        <v>171</v>
      </c>
    </row>
    <row r="72" spans="5:7" ht="15" hidden="1" customHeight="1" x14ac:dyDescent="0.35">
      <c r="G72" s="13" t="s">
        <v>172</v>
      </c>
    </row>
    <row r="73" spans="5:7" ht="15" hidden="1" customHeight="1" x14ac:dyDescent="0.35">
      <c r="G73" s="13" t="s">
        <v>173</v>
      </c>
    </row>
    <row r="74" spans="5:7" ht="15" hidden="1" customHeight="1" x14ac:dyDescent="0.35">
      <c r="G74" s="13" t="s">
        <v>174</v>
      </c>
    </row>
    <row r="75" spans="5:7" ht="15" hidden="1" customHeight="1" x14ac:dyDescent="0.35">
      <c r="G75" s="13" t="s">
        <v>175</v>
      </c>
    </row>
    <row r="76" spans="5:7" ht="15" hidden="1" customHeight="1" x14ac:dyDescent="0.35">
      <c r="G76" s="13" t="s">
        <v>176</v>
      </c>
    </row>
    <row r="77" spans="5:7" ht="15" hidden="1" customHeight="1" x14ac:dyDescent="0.35">
      <c r="G77" s="13" t="s">
        <v>177</v>
      </c>
    </row>
    <row r="78" spans="5:7" ht="15" hidden="1" customHeight="1" x14ac:dyDescent="0.35">
      <c r="G78" s="13" t="s">
        <v>178</v>
      </c>
    </row>
    <row r="79" spans="5:7" ht="15" hidden="1" customHeight="1" x14ac:dyDescent="0.35">
      <c r="G79" s="13" t="s">
        <v>179</v>
      </c>
    </row>
    <row r="80" spans="5:7" ht="15" hidden="1" customHeight="1" x14ac:dyDescent="0.35">
      <c r="G80" s="13" t="s">
        <v>180</v>
      </c>
    </row>
    <row r="81" spans="7:7" ht="15" hidden="1" customHeight="1" x14ac:dyDescent="0.35">
      <c r="G81" s="13" t="s">
        <v>181</v>
      </c>
    </row>
    <row r="82" spans="7:7" ht="15" hidden="1" customHeight="1" x14ac:dyDescent="0.35">
      <c r="G82" s="13" t="s">
        <v>182</v>
      </c>
    </row>
    <row r="83" spans="7:7" ht="15" hidden="1" customHeight="1" x14ac:dyDescent="0.35">
      <c r="G83" s="13" t="s">
        <v>183</v>
      </c>
    </row>
    <row r="84" spans="7:7" ht="15" hidden="1" customHeight="1" x14ac:dyDescent="0.35">
      <c r="G84" s="13" t="s">
        <v>184</v>
      </c>
    </row>
    <row r="85" spans="7:7" ht="15" hidden="1" customHeight="1" x14ac:dyDescent="0.35">
      <c r="G85" s="13" t="s">
        <v>96</v>
      </c>
    </row>
    <row r="86" spans="7:7" ht="15" hidden="1" customHeight="1" x14ac:dyDescent="0.35">
      <c r="G86" s="13" t="s">
        <v>185</v>
      </c>
    </row>
    <row r="87" spans="7:7" ht="15" hidden="1" customHeight="1" x14ac:dyDescent="0.35">
      <c r="G87" s="13" t="s">
        <v>186</v>
      </c>
    </row>
    <row r="88" spans="7:7" ht="15" hidden="1" customHeight="1" x14ac:dyDescent="0.35">
      <c r="G88" s="13" t="s">
        <v>187</v>
      </c>
    </row>
    <row r="89" spans="7:7" ht="15" hidden="1" customHeight="1" x14ac:dyDescent="0.35">
      <c r="G89" s="13" t="s">
        <v>62</v>
      </c>
    </row>
    <row r="90" spans="7:7" ht="15" hidden="1" customHeight="1" x14ac:dyDescent="0.35">
      <c r="G90" s="13" t="s">
        <v>188</v>
      </c>
    </row>
    <row r="91" spans="7:7" ht="15" hidden="1" customHeight="1" x14ac:dyDescent="0.35">
      <c r="G91" s="13" t="s">
        <v>189</v>
      </c>
    </row>
    <row r="92" spans="7:7" ht="15" hidden="1" customHeight="1" x14ac:dyDescent="0.35">
      <c r="G92" s="13" t="s">
        <v>190</v>
      </c>
    </row>
    <row r="93" spans="7:7" ht="15" hidden="1" customHeight="1" x14ac:dyDescent="0.35">
      <c r="G93" s="13" t="s">
        <v>191</v>
      </c>
    </row>
    <row r="94" spans="7:7" ht="15" hidden="1" customHeight="1" x14ac:dyDescent="0.35">
      <c r="G94" s="13" t="s">
        <v>192</v>
      </c>
    </row>
    <row r="95" spans="7:7" ht="15" hidden="1" customHeight="1" x14ac:dyDescent="0.35">
      <c r="G95" s="13" t="s">
        <v>193</v>
      </c>
    </row>
    <row r="96" spans="7:7" ht="15" hidden="1" customHeight="1" x14ac:dyDescent="0.35">
      <c r="G96" s="13" t="s">
        <v>194</v>
      </c>
    </row>
    <row r="97" spans="7:7" ht="15" hidden="1" customHeight="1" x14ac:dyDescent="0.35">
      <c r="G97" s="13" t="s">
        <v>195</v>
      </c>
    </row>
    <row r="98" spans="7:7" ht="15" hidden="1" customHeight="1" x14ac:dyDescent="0.35">
      <c r="G98" s="13" t="s">
        <v>196</v>
      </c>
    </row>
    <row r="99" spans="7:7" ht="15" hidden="1" customHeight="1" x14ac:dyDescent="0.35">
      <c r="G99" s="13" t="s">
        <v>197</v>
      </c>
    </row>
    <row r="100" spans="7:7" ht="15" hidden="1" customHeight="1" x14ac:dyDescent="0.35">
      <c r="G100" s="13" t="s">
        <v>198</v>
      </c>
    </row>
    <row r="101" spans="7:7" ht="15" hidden="1" customHeight="1" x14ac:dyDescent="0.35">
      <c r="G101" s="13" t="s">
        <v>199</v>
      </c>
    </row>
    <row r="102" spans="7:7" ht="15" hidden="1" customHeight="1" x14ac:dyDescent="0.35">
      <c r="G102" s="13" t="s">
        <v>200</v>
      </c>
    </row>
    <row r="103" spans="7:7" ht="15" hidden="1" customHeight="1" x14ac:dyDescent="0.35">
      <c r="G103" s="13" t="s">
        <v>14</v>
      </c>
    </row>
    <row r="104" spans="7:7" ht="15" hidden="1" customHeight="1" x14ac:dyDescent="0.35">
      <c r="G104" s="13" t="s">
        <v>201</v>
      </c>
    </row>
    <row r="105" spans="7:7" ht="15" hidden="1" customHeight="1" x14ac:dyDescent="0.35">
      <c r="G105" s="13" t="s">
        <v>84</v>
      </c>
    </row>
    <row r="106" spans="7:7" ht="15" hidden="1" customHeight="1" x14ac:dyDescent="0.35">
      <c r="G106" s="13" t="s">
        <v>202</v>
      </c>
    </row>
    <row r="107" spans="7:7" ht="15" hidden="1" customHeight="1" x14ac:dyDescent="0.35">
      <c r="G107" s="13" t="s">
        <v>203</v>
      </c>
    </row>
    <row r="108" spans="7:7" ht="15" hidden="1" customHeight="1" x14ac:dyDescent="0.35">
      <c r="G108" s="13" t="s">
        <v>204</v>
      </c>
    </row>
    <row r="109" spans="7:7" ht="15" hidden="1" customHeight="1" x14ac:dyDescent="0.35">
      <c r="G109" s="13" t="s">
        <v>205</v>
      </c>
    </row>
    <row r="110" spans="7:7" ht="15" hidden="1" customHeight="1" x14ac:dyDescent="0.35">
      <c r="G110" s="13" t="s">
        <v>206</v>
      </c>
    </row>
  </sheetData>
  <sheetProtection algorithmName="SHA-512" hashValue="AvaOIdqtvZhKiy4LlPzv/APdFUFt3DRBWtBsm0RGGC7xkroXlNTtqPp4a/s7/DCv5YCnLbQGfNSDFqqjYvapJg==" saltValue="QAFf3oy0iYuSabXQTsY8KA==" spinCount="100000" sheet="1" formatCells="0" formatColumns="0" formatRows="0" insertColumns="0" insertRows="0" insertHyperlinks="0" deleteColumns="0" deleteRows="0" sort="0" autoFilter="0" pivotTables="0"/>
  <protectedRanges>
    <protectedRange sqref="Y14:AJ14 Y16:AJ16 AL14:AM29 Y28:AJ28 Y26:AJ26 Y24:AJ24 Y22:AJ22 Y20:AJ20 Y18:AJ18" name="Rango1"/>
  </protectedRanges>
  <autoFilter ref="A13:AM13" xr:uid="{29F1F01A-C809-40FB-87B9-E571BFA038B5}"/>
  <mergeCells count="263">
    <mergeCell ref="A1:C3"/>
    <mergeCell ref="D1:AM3"/>
    <mergeCell ref="A4:A5"/>
    <mergeCell ref="G4:G5"/>
    <mergeCell ref="A6:B10"/>
    <mergeCell ref="C6:D10"/>
    <mergeCell ref="E6:F10"/>
    <mergeCell ref="G6:G10"/>
    <mergeCell ref="H6:I10"/>
    <mergeCell ref="J6:J10"/>
    <mergeCell ref="K6:L10"/>
    <mergeCell ref="M6:M10"/>
    <mergeCell ref="N6:O10"/>
    <mergeCell ref="P6:Q10"/>
    <mergeCell ref="R6:S10"/>
    <mergeCell ref="T6:V10"/>
    <mergeCell ref="W6:AM10"/>
    <mergeCell ref="A11:F11"/>
    <mergeCell ref="G11:U11"/>
    <mergeCell ref="V11:AK11"/>
    <mergeCell ref="AL11:AM11"/>
    <mergeCell ref="A12:A13"/>
    <mergeCell ref="B12:B13"/>
    <mergeCell ref="C12:C13"/>
    <mergeCell ref="D12:D13"/>
    <mergeCell ref="E12:E13"/>
    <mergeCell ref="L12:L13"/>
    <mergeCell ref="M12:M13"/>
    <mergeCell ref="N12:N13"/>
    <mergeCell ref="O12:O13"/>
    <mergeCell ref="P12:P13"/>
    <mergeCell ref="Q12:Q13"/>
    <mergeCell ref="F12:F13"/>
    <mergeCell ref="G12:G13"/>
    <mergeCell ref="H12:H13"/>
    <mergeCell ref="I12:I13"/>
    <mergeCell ref="J12:J13"/>
    <mergeCell ref="K12:K13"/>
    <mergeCell ref="X12:X13"/>
    <mergeCell ref="Y12:Y13"/>
    <mergeCell ref="Z12:Z13"/>
    <mergeCell ref="AA12:AA13"/>
    <mergeCell ref="AB12:AB13"/>
    <mergeCell ref="AC12:AC13"/>
    <mergeCell ref="R12:R13"/>
    <mergeCell ref="S12:S13"/>
    <mergeCell ref="T12:T13"/>
    <mergeCell ref="U12:U13"/>
    <mergeCell ref="V12:V13"/>
    <mergeCell ref="W12:W13"/>
    <mergeCell ref="AJ12:AJ13"/>
    <mergeCell ref="AK12:AK13"/>
    <mergeCell ref="AL12:AL13"/>
    <mergeCell ref="AM12:AM13"/>
    <mergeCell ref="AD12:AD13"/>
    <mergeCell ref="AE12:AE13"/>
    <mergeCell ref="AF12:AF13"/>
    <mergeCell ref="AG12:AG13"/>
    <mergeCell ref="AH12:AH13"/>
    <mergeCell ref="AI12:AI13"/>
    <mergeCell ref="J14:J15"/>
    <mergeCell ref="K14:K15"/>
    <mergeCell ref="L14:L15"/>
    <mergeCell ref="A14:A15"/>
    <mergeCell ref="B14:B15"/>
    <mergeCell ref="C14:C15"/>
    <mergeCell ref="D14:D15"/>
    <mergeCell ref="E14:E15"/>
    <mergeCell ref="F14:F15"/>
    <mergeCell ref="C16:C17"/>
    <mergeCell ref="D16:D17"/>
    <mergeCell ref="E16:E17"/>
    <mergeCell ref="F16:F17"/>
    <mergeCell ref="G16:G17"/>
    <mergeCell ref="H16:H17"/>
    <mergeCell ref="I16:I17"/>
    <mergeCell ref="G14:G15"/>
    <mergeCell ref="H14:H15"/>
    <mergeCell ref="I14:I15"/>
    <mergeCell ref="S14:S15"/>
    <mergeCell ref="T14:T15"/>
    <mergeCell ref="U14:U15"/>
    <mergeCell ref="AL14:AL15"/>
    <mergeCell ref="AM14:AM15"/>
    <mergeCell ref="M14:M15"/>
    <mergeCell ref="N14:N15"/>
    <mergeCell ref="O14:O15"/>
    <mergeCell ref="P14:P15"/>
    <mergeCell ref="Q14:Q15"/>
    <mergeCell ref="R14:R15"/>
    <mergeCell ref="AL16:AL17"/>
    <mergeCell ref="AM16:AM17"/>
    <mergeCell ref="A18:A19"/>
    <mergeCell ref="B18:B19"/>
    <mergeCell ref="C18:C19"/>
    <mergeCell ref="D18:D19"/>
    <mergeCell ref="E18:E19"/>
    <mergeCell ref="F18:F19"/>
    <mergeCell ref="P16:P17"/>
    <mergeCell ref="Q16:Q17"/>
    <mergeCell ref="R16:R17"/>
    <mergeCell ref="S16:S17"/>
    <mergeCell ref="T16:T17"/>
    <mergeCell ref="U16:U17"/>
    <mergeCell ref="J16:J17"/>
    <mergeCell ref="K16:K17"/>
    <mergeCell ref="L16:L17"/>
    <mergeCell ref="M16:M17"/>
    <mergeCell ref="S18:S19"/>
    <mergeCell ref="T18:T19"/>
    <mergeCell ref="N16:N17"/>
    <mergeCell ref="O16:O17"/>
    <mergeCell ref="A16:A17"/>
    <mergeCell ref="B16:B17"/>
    <mergeCell ref="AL18:AL19"/>
    <mergeCell ref="AM18:AM19"/>
    <mergeCell ref="M18:M19"/>
    <mergeCell ref="N18:N19"/>
    <mergeCell ref="O18:O19"/>
    <mergeCell ref="P18:P19"/>
    <mergeCell ref="Q18:Q19"/>
    <mergeCell ref="R18:R19"/>
    <mergeCell ref="A20:A21"/>
    <mergeCell ref="B20:B21"/>
    <mergeCell ref="C20:C21"/>
    <mergeCell ref="D20:D21"/>
    <mergeCell ref="E20:E21"/>
    <mergeCell ref="F20:F21"/>
    <mergeCell ref="G20:G21"/>
    <mergeCell ref="H20:H21"/>
    <mergeCell ref="I20:I21"/>
    <mergeCell ref="I18:I19"/>
    <mergeCell ref="J18:J19"/>
    <mergeCell ref="K18:K19"/>
    <mergeCell ref="L18:L19"/>
    <mergeCell ref="G18:G19"/>
    <mergeCell ref="H18:H19"/>
    <mergeCell ref="S20:S21"/>
    <mergeCell ref="T20:T21"/>
    <mergeCell ref="U20:U21"/>
    <mergeCell ref="J20:J21"/>
    <mergeCell ref="K20:K21"/>
    <mergeCell ref="L20:L21"/>
    <mergeCell ref="M20:M21"/>
    <mergeCell ref="N20:N21"/>
    <mergeCell ref="O20:O21"/>
    <mergeCell ref="U18:U19"/>
    <mergeCell ref="E22:E23"/>
    <mergeCell ref="F22:F23"/>
    <mergeCell ref="P20:P21"/>
    <mergeCell ref="Q20:Q21"/>
    <mergeCell ref="R20:R21"/>
    <mergeCell ref="G22:G23"/>
    <mergeCell ref="H22:H23"/>
    <mergeCell ref="I22:I23"/>
    <mergeCell ref="J22:J23"/>
    <mergeCell ref="K22:K23"/>
    <mergeCell ref="O22:O23"/>
    <mergeCell ref="P22:P23"/>
    <mergeCell ref="Q22:Q23"/>
    <mergeCell ref="R22:R23"/>
    <mergeCell ref="AL20:AL21"/>
    <mergeCell ref="AM20:AM21"/>
    <mergeCell ref="N24:N25"/>
    <mergeCell ref="O24:O25"/>
    <mergeCell ref="A24:A25"/>
    <mergeCell ref="B24:B25"/>
    <mergeCell ref="C24:C25"/>
    <mergeCell ref="D24:D25"/>
    <mergeCell ref="E24:E25"/>
    <mergeCell ref="F24:F25"/>
    <mergeCell ref="G24:G25"/>
    <mergeCell ref="H24:H25"/>
    <mergeCell ref="I24:I25"/>
    <mergeCell ref="S22:S23"/>
    <mergeCell ref="T22:T23"/>
    <mergeCell ref="U22:U23"/>
    <mergeCell ref="AL22:AL23"/>
    <mergeCell ref="AM22:AM23"/>
    <mergeCell ref="M22:M23"/>
    <mergeCell ref="N22:N23"/>
    <mergeCell ref="A22:A23"/>
    <mergeCell ref="B22:B23"/>
    <mergeCell ref="C22:C23"/>
    <mergeCell ref="D22:D23"/>
    <mergeCell ref="L26:L27"/>
    <mergeCell ref="AL24:AL25"/>
    <mergeCell ref="L22:L23"/>
    <mergeCell ref="AM24:AM25"/>
    <mergeCell ref="S24:S25"/>
    <mergeCell ref="T24:T25"/>
    <mergeCell ref="U24:U25"/>
    <mergeCell ref="S26:S27"/>
    <mergeCell ref="T26:T27"/>
    <mergeCell ref="U26:U27"/>
    <mergeCell ref="AL26:AL27"/>
    <mergeCell ref="AM26:AM27"/>
    <mergeCell ref="A26:A27"/>
    <mergeCell ref="B26:B27"/>
    <mergeCell ref="C26:C27"/>
    <mergeCell ref="D26:D27"/>
    <mergeCell ref="E26:E27"/>
    <mergeCell ref="F26:F27"/>
    <mergeCell ref="P24:P25"/>
    <mergeCell ref="Q24:Q25"/>
    <mergeCell ref="R24:R25"/>
    <mergeCell ref="J24:J25"/>
    <mergeCell ref="K24:K25"/>
    <mergeCell ref="L24:L25"/>
    <mergeCell ref="M24:M25"/>
    <mergeCell ref="M26:M27"/>
    <mergeCell ref="N26:N27"/>
    <mergeCell ref="O26:O27"/>
    <mergeCell ref="P26:P27"/>
    <mergeCell ref="Q26:Q27"/>
    <mergeCell ref="R26:R27"/>
    <mergeCell ref="G26:G27"/>
    <mergeCell ref="H26:H27"/>
    <mergeCell ref="I26:I27"/>
    <mergeCell ref="J26:J27"/>
    <mergeCell ref="K26:K27"/>
    <mergeCell ref="A28:A29"/>
    <mergeCell ref="B28:B29"/>
    <mergeCell ref="C28:C29"/>
    <mergeCell ref="D28:D29"/>
    <mergeCell ref="E28:E29"/>
    <mergeCell ref="F28:F29"/>
    <mergeCell ref="G28:G29"/>
    <mergeCell ref="H28:H29"/>
    <mergeCell ref="I28:I29"/>
    <mergeCell ref="M49:M50"/>
    <mergeCell ref="I42:J42"/>
    <mergeCell ref="H44:I44"/>
    <mergeCell ref="H45:I45"/>
    <mergeCell ref="H46:I46"/>
    <mergeCell ref="B49:B50"/>
    <mergeCell ref="C49:C50"/>
    <mergeCell ref="D49:D50"/>
    <mergeCell ref="E49:E50"/>
    <mergeCell ref="F49:F50"/>
    <mergeCell ref="G49:G50"/>
    <mergeCell ref="H33:H36"/>
    <mergeCell ref="I37:J37"/>
    <mergeCell ref="I38:J38"/>
    <mergeCell ref="I39:J39"/>
    <mergeCell ref="I40:J40"/>
    <mergeCell ref="I41:J41"/>
    <mergeCell ref="AL28:AL29"/>
    <mergeCell ref="AM28:AM29"/>
    <mergeCell ref="D30:E30"/>
    <mergeCell ref="H30:H31"/>
    <mergeCell ref="P28:P29"/>
    <mergeCell ref="Q28:Q29"/>
    <mergeCell ref="R28:R29"/>
    <mergeCell ref="S28:S29"/>
    <mergeCell ref="T28:T29"/>
    <mergeCell ref="U28:U29"/>
    <mergeCell ref="J28:J29"/>
    <mergeCell ref="K28:K29"/>
    <mergeCell ref="L28:L29"/>
    <mergeCell ref="M28:M29"/>
    <mergeCell ref="N28:N29"/>
    <mergeCell ref="O28:O29"/>
  </mergeCells>
  <conditionalFormatting sqref="I4">
    <cfRule type="cellIs" dxfId="118" priority="10" operator="lessThanOrEqual">
      <formula>$C$4</formula>
    </cfRule>
  </conditionalFormatting>
  <conditionalFormatting sqref="J6">
    <cfRule type="cellIs" dxfId="117" priority="11" operator="greaterThanOrEqual">
      <formula>$C$5</formula>
    </cfRule>
    <cfRule type="cellIs" dxfId="116" priority="12" operator="lessThanOrEqual">
      <formula>$C$4</formula>
    </cfRule>
    <cfRule type="cellIs" dxfId="115" priority="13" operator="between">
      <formula>$C$5</formula>
      <formula>$C$4</formula>
    </cfRule>
  </conditionalFormatting>
  <conditionalFormatting sqref="P6">
    <cfRule type="cellIs" dxfId="114" priority="7" operator="greaterThanOrEqual">
      <formula>$I$5</formula>
    </cfRule>
    <cfRule type="cellIs" dxfId="113" priority="8" operator="lessThanOrEqual">
      <formula>$I$4</formula>
    </cfRule>
    <cfRule type="cellIs" dxfId="112" priority="9" operator="between">
      <formula>$I$5</formula>
      <formula>$I$4</formula>
    </cfRule>
  </conditionalFormatting>
  <conditionalFormatting sqref="T6">
    <cfRule type="cellIs" dxfId="111" priority="1" operator="greaterThanOrEqual">
      <formula>$I$5</formula>
    </cfRule>
    <cfRule type="cellIs" dxfId="110" priority="2" operator="lessThanOrEqual">
      <formula>$I$4</formula>
    </cfRule>
    <cfRule type="cellIs" dxfId="109" priority="3" operator="between">
      <formula>$I$5</formula>
      <formula>$I$4</formula>
    </cfRule>
  </conditionalFormatting>
  <conditionalFormatting sqref="X14:X29">
    <cfRule type="cellIs" dxfId="108" priority="4" operator="greaterThanOrEqual">
      <formula>$C$5</formula>
    </cfRule>
    <cfRule type="cellIs" dxfId="107" priority="5" operator="lessThanOrEqual">
      <formula>$C$4</formula>
    </cfRule>
    <cfRule type="cellIs" dxfId="106" priority="6" operator="between">
      <formula>$C$5</formula>
      <formula>$C$4</formula>
    </cfRule>
  </conditionalFormatting>
  <conditionalFormatting sqref="Z37:Z40 AD37:AD40 V37:V42 AH37:AH42 K38:U38 W38:Y38 AA38:AC38 AE38:AG38 AI38:AK38 J46">
    <cfRule type="cellIs" dxfId="105" priority="14" operator="greaterThanOrEqual">
      <formula>$D$9</formula>
    </cfRule>
    <cfRule type="cellIs" dxfId="104" priority="15" operator="lessThanOrEqual">
      <formula>$C$6</formula>
    </cfRule>
    <cfRule type="cellIs" dxfId="103" priority="16" operator="between">
      <formula>$C$6</formula>
      <formula>$D$9</formula>
    </cfRule>
  </conditionalFormatting>
  <dataValidations count="8">
    <dataValidation type="list" allowBlank="1" showInputMessage="1" showErrorMessage="1" sqref="B14:B29" xr:uid="{F4209D07-2B4B-4F8C-B653-B4A91E585D5D}">
      <formula1>$B$50:$B$57</formula1>
    </dataValidation>
    <dataValidation type="list" allowBlank="1" showInputMessage="1" showErrorMessage="1" sqref="C14:C29" xr:uid="{CA323EC6-D6B8-41E7-A3FF-0DCA9EB693AB}">
      <formula1>$C$50:$C$59</formula1>
    </dataValidation>
    <dataValidation type="list" allowBlank="1" showInputMessage="1" showErrorMessage="1" sqref="D14:D29" xr:uid="{F75AB1B6-381A-470B-8A21-701BA8276073}">
      <formula1>$D$50:$D$56</formula1>
    </dataValidation>
    <dataValidation type="list" allowBlank="1" showInputMessage="1" showErrorMessage="1" sqref="E14:E29" xr:uid="{F49FC507-F1E0-484D-A203-6AC58EBE5037}">
      <formula1>$E$50:$E$68</formula1>
    </dataValidation>
    <dataValidation allowBlank="1" showErrorMessage="1" sqref="X14:X29" xr:uid="{54F07F7A-F02E-488F-B68F-49917867749D}"/>
    <dataValidation type="decimal" allowBlank="1" showInputMessage="1" showErrorMessage="1" prompt="% de avance en la actividad - indique el % programado de avance durante esta semana_x000a_" sqref="Y14:AA23 Y25:AA29 AB14:AK29" xr:uid="{C4ED1E9A-2F99-4008-A039-62717BA34B7C}">
      <formula1>0</formula1>
      <formula2>1</formula2>
    </dataValidation>
    <dataValidation type="decimal" allowBlank="1" showInputMessage="1" showErrorMessage="1" prompt="campo calculado  - indica el % de avance  que aporta la activadad a todo el proyecto" sqref="W23 W21 W19 W15 W17 W27 W25 W29" xr:uid="{DCE29EAC-4FF0-4587-93A1-D9614AE1E1F2}">
      <formula1>0</formula1>
      <formula2>1</formula2>
    </dataValidation>
    <dataValidation type="decimal" allowBlank="1" showInputMessage="1" showErrorMessage="1" prompt="valor porcentual de la activida - Indique el peso porcentual de la actividad dentro del proyecto" sqref="W14 W22 W18 W16 W20 W26 W24 W28" xr:uid="{72C566DA-E4AA-4DBA-9356-2B8BD4C0D8F9}">
      <formula1>0</formula1>
      <formula2>1</formula2>
    </dataValidation>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95A3-3B21-47AD-A023-E63241F0EDEC}">
  <dimension ref="A1:AG89"/>
  <sheetViews>
    <sheetView view="pageBreakPreview" topLeftCell="N1" zoomScale="44" zoomScaleNormal="60" zoomScaleSheetLayoutView="44" workbookViewId="0">
      <selection activeCell="S18" activeCellId="6" sqref="S14:AD14 S16:AD16 AF14:AG25 S24:AD24 S22:AD22 S20:AD20 S18:AD18"/>
    </sheetView>
  </sheetViews>
  <sheetFormatPr baseColWidth="10" defaultColWidth="11.453125" defaultRowHeight="14.5" x14ac:dyDescent="0.35"/>
  <cols>
    <col min="1" max="1" width="8.54296875" style="1" customWidth="1"/>
    <col min="2" max="15" width="30.453125" style="1" customWidth="1"/>
    <col min="16" max="16" width="21.7265625" style="1" customWidth="1"/>
    <col min="17" max="18" width="17.54296875" style="1" customWidth="1"/>
    <col min="19" max="30" width="11.453125" style="1" customWidth="1"/>
    <col min="31" max="31" width="11.453125" style="1" hidden="1" customWidth="1"/>
    <col min="32" max="33" width="52" style="1" customWidth="1"/>
    <col min="34" max="16384" width="11.453125" style="1"/>
  </cols>
  <sheetData>
    <row r="1" spans="1:33" s="5" customFormat="1" ht="15" customHeight="1" x14ac:dyDescent="0.35">
      <c r="A1" s="337"/>
      <c r="B1" s="338"/>
      <c r="C1" s="339"/>
      <c r="D1" s="346" t="s">
        <v>1423</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row>
    <row r="3" spans="1:33"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row>
    <row r="4" spans="1:33" s="5" customFormat="1" ht="60" hidden="1" customHeight="1" thickBot="1" x14ac:dyDescent="0.4">
      <c r="A4" s="352" t="s">
        <v>9</v>
      </c>
      <c r="B4" s="8" t="s">
        <v>10</v>
      </c>
      <c r="C4" s="9">
        <v>0.7</v>
      </c>
      <c r="D4" s="9"/>
      <c r="E4" s="9"/>
      <c r="F4" s="352" t="s">
        <v>11</v>
      </c>
      <c r="G4" s="8" t="s">
        <v>10</v>
      </c>
      <c r="H4" s="9">
        <v>0.7</v>
      </c>
      <c r="I4" s="10"/>
      <c r="J4" s="11"/>
      <c r="K4" s="11"/>
      <c r="L4" s="11"/>
      <c r="M4" s="11"/>
      <c r="N4" s="11"/>
      <c r="O4" s="11"/>
      <c r="P4" s="11"/>
      <c r="Q4" s="11"/>
      <c r="R4" s="11"/>
      <c r="S4" s="11"/>
      <c r="T4" s="11"/>
      <c r="U4" s="11"/>
      <c r="V4" s="11"/>
      <c r="W4" s="11"/>
      <c r="X4" s="11"/>
      <c r="Y4" s="11"/>
      <c r="Z4" s="11"/>
      <c r="AA4" s="11"/>
      <c r="AB4" s="11"/>
      <c r="AC4" s="11"/>
      <c r="AD4" s="11"/>
      <c r="AE4" s="11"/>
      <c r="AF4" s="11"/>
      <c r="AG4" s="11"/>
    </row>
    <row r="5" spans="1:33" s="5" customFormat="1" ht="60" hidden="1" customHeight="1" x14ac:dyDescent="0.35">
      <c r="A5" s="352"/>
      <c r="B5" s="8" t="s">
        <v>12</v>
      </c>
      <c r="C5" s="12">
        <v>0.9</v>
      </c>
      <c r="D5" s="12"/>
      <c r="E5" s="12"/>
      <c r="F5" s="352"/>
      <c r="G5" s="8" t="s">
        <v>12</v>
      </c>
      <c r="H5" s="12">
        <v>0.95</v>
      </c>
      <c r="I5" s="10"/>
      <c r="J5" s="11"/>
      <c r="K5" s="11"/>
      <c r="L5" s="11"/>
      <c r="M5" s="11"/>
      <c r="N5" s="11"/>
      <c r="O5" s="11"/>
      <c r="P5" s="11"/>
      <c r="Q5" s="11"/>
      <c r="R5" s="11"/>
      <c r="S5" s="11"/>
      <c r="T5" s="11"/>
      <c r="U5" s="11"/>
      <c r="V5" s="11"/>
      <c r="W5" s="11"/>
      <c r="X5" s="11"/>
      <c r="Y5" s="11"/>
      <c r="Z5" s="11"/>
      <c r="AA5" s="11"/>
      <c r="AB5" s="11"/>
      <c r="AC5" s="11"/>
      <c r="AD5" s="11"/>
      <c r="AE5" s="11"/>
      <c r="AF5" s="11"/>
      <c r="AG5" s="11"/>
    </row>
    <row r="6" spans="1:33" s="13" customFormat="1" ht="15.65" customHeight="1" x14ac:dyDescent="0.35">
      <c r="A6" s="295" t="s">
        <v>13</v>
      </c>
      <c r="B6" s="297"/>
      <c r="C6" s="423" t="s">
        <v>92</v>
      </c>
      <c r="D6" s="423"/>
      <c r="E6" s="295" t="s">
        <v>15</v>
      </c>
      <c r="F6" s="455">
        <f>+Q15+Q17+Q19+Q21+Q23+Q25</f>
        <v>0.99999999999999989</v>
      </c>
      <c r="G6" s="295" t="s">
        <v>209</v>
      </c>
      <c r="H6" s="297"/>
      <c r="I6" s="489">
        <f>+Q14+Q16+Q18+Q20+Q22+Q24</f>
        <v>0</v>
      </c>
      <c r="J6" s="295" t="s">
        <v>17</v>
      </c>
      <c r="K6" s="297"/>
      <c r="L6" s="443">
        <v>1</v>
      </c>
      <c r="M6" s="295" t="s">
        <v>1361</v>
      </c>
      <c r="N6" s="297"/>
      <c r="O6" s="304">
        <f>(SUM(S14:Y14,S16:Y16,S18:Y18,S20:Y20,S22:Y22,S24:Y24)/SUM(S15:Y15,S17:Y17,S19:Y19,S21:Y21,S23:Y23,S25:Y25))/L6</f>
        <v>0</v>
      </c>
      <c r="P6" s="325"/>
      <c r="Q6" s="305"/>
      <c r="R6" s="295" t="s">
        <v>1362</v>
      </c>
      <c r="S6" s="296"/>
      <c r="T6" s="296"/>
      <c r="U6" s="297"/>
      <c r="V6" s="326">
        <f>SUM(Y14:AD14,Y16:AD16,Y18:AD18,Y20:AD20,Y22:AD22,Y24:AD24)/SUM(Y15:AD15,Y17:AD17,Y19:AD19,Y21:AD21,Y23:AD23,Y25:AD25)</f>
        <v>0</v>
      </c>
      <c r="W6" s="326"/>
      <c r="X6" s="326"/>
      <c r="Y6" s="326"/>
      <c r="Z6" s="326"/>
      <c r="AA6" s="326"/>
      <c r="AB6" s="517"/>
      <c r="AC6" s="517"/>
      <c r="AD6" s="517"/>
      <c r="AE6" s="517"/>
      <c r="AF6" s="517"/>
      <c r="AG6" s="517"/>
    </row>
    <row r="7" spans="1:33" s="13" customFormat="1" ht="15.65" customHeight="1" x14ac:dyDescent="0.35">
      <c r="A7" s="298"/>
      <c r="B7" s="300"/>
      <c r="C7" s="423"/>
      <c r="D7" s="423"/>
      <c r="E7" s="298"/>
      <c r="F7" s="456"/>
      <c r="G7" s="298"/>
      <c r="H7" s="300"/>
      <c r="I7" s="490"/>
      <c r="J7" s="298"/>
      <c r="K7" s="300"/>
      <c r="L7" s="444"/>
      <c r="M7" s="298"/>
      <c r="N7" s="300"/>
      <c r="O7" s="306"/>
      <c r="P7" s="326"/>
      <c r="Q7" s="307"/>
      <c r="R7" s="298"/>
      <c r="S7" s="299"/>
      <c r="T7" s="299"/>
      <c r="U7" s="300"/>
      <c r="V7" s="326"/>
      <c r="W7" s="326"/>
      <c r="X7" s="326"/>
      <c r="Y7" s="326"/>
      <c r="Z7" s="326"/>
      <c r="AA7" s="326"/>
      <c r="AB7" s="517"/>
      <c r="AC7" s="517"/>
      <c r="AD7" s="517"/>
      <c r="AE7" s="517"/>
      <c r="AF7" s="517"/>
      <c r="AG7" s="517"/>
    </row>
    <row r="8" spans="1:33" s="13" customFormat="1" ht="15.65" customHeight="1" x14ac:dyDescent="0.35">
      <c r="A8" s="298"/>
      <c r="B8" s="300"/>
      <c r="C8" s="423"/>
      <c r="D8" s="423"/>
      <c r="E8" s="298"/>
      <c r="F8" s="456"/>
      <c r="G8" s="298"/>
      <c r="H8" s="300"/>
      <c r="I8" s="490"/>
      <c r="J8" s="298"/>
      <c r="K8" s="300"/>
      <c r="L8" s="444"/>
      <c r="M8" s="298"/>
      <c r="N8" s="300"/>
      <c r="O8" s="306"/>
      <c r="P8" s="326"/>
      <c r="Q8" s="307"/>
      <c r="R8" s="298"/>
      <c r="S8" s="299"/>
      <c r="T8" s="299"/>
      <c r="U8" s="300"/>
      <c r="V8" s="326"/>
      <c r="W8" s="326"/>
      <c r="X8" s="326"/>
      <c r="Y8" s="326"/>
      <c r="Z8" s="326"/>
      <c r="AA8" s="326"/>
      <c r="AB8" s="517"/>
      <c r="AC8" s="517"/>
      <c r="AD8" s="517"/>
      <c r="AE8" s="517"/>
      <c r="AF8" s="517"/>
      <c r="AG8" s="517"/>
    </row>
    <row r="9" spans="1:33" s="13" customFormat="1" ht="15.65" customHeight="1" x14ac:dyDescent="0.35">
      <c r="A9" s="298"/>
      <c r="B9" s="300"/>
      <c r="C9" s="423"/>
      <c r="D9" s="423"/>
      <c r="E9" s="298"/>
      <c r="F9" s="456"/>
      <c r="G9" s="298"/>
      <c r="H9" s="300"/>
      <c r="I9" s="490"/>
      <c r="J9" s="298"/>
      <c r="K9" s="300"/>
      <c r="L9" s="444"/>
      <c r="M9" s="298"/>
      <c r="N9" s="300"/>
      <c r="O9" s="306"/>
      <c r="P9" s="326"/>
      <c r="Q9" s="307"/>
      <c r="R9" s="298"/>
      <c r="S9" s="299"/>
      <c r="T9" s="299"/>
      <c r="U9" s="300"/>
      <c r="V9" s="326"/>
      <c r="W9" s="326"/>
      <c r="X9" s="326"/>
      <c r="Y9" s="326"/>
      <c r="Z9" s="326"/>
      <c r="AA9" s="326"/>
      <c r="AB9" s="517"/>
      <c r="AC9" s="517"/>
      <c r="AD9" s="517"/>
      <c r="AE9" s="517"/>
      <c r="AF9" s="517"/>
      <c r="AG9" s="517"/>
    </row>
    <row r="10" spans="1:33" s="13" customFormat="1" ht="15.65" customHeight="1" thickBot="1" x14ac:dyDescent="0.4">
      <c r="A10" s="467"/>
      <c r="B10" s="468"/>
      <c r="C10" s="423"/>
      <c r="D10" s="423"/>
      <c r="E10" s="467"/>
      <c r="F10" s="456"/>
      <c r="G10" s="467"/>
      <c r="H10" s="468"/>
      <c r="I10" s="516"/>
      <c r="J10" s="467"/>
      <c r="K10" s="468"/>
      <c r="L10" s="444"/>
      <c r="M10" s="467"/>
      <c r="N10" s="468"/>
      <c r="O10" s="308"/>
      <c r="P10" s="327"/>
      <c r="Q10" s="309"/>
      <c r="R10" s="467"/>
      <c r="S10" s="498"/>
      <c r="T10" s="498"/>
      <c r="U10" s="468"/>
      <c r="V10" s="326"/>
      <c r="W10" s="326"/>
      <c r="X10" s="326"/>
      <c r="Y10" s="326"/>
      <c r="Z10" s="326"/>
      <c r="AA10" s="326"/>
      <c r="AB10" s="517"/>
      <c r="AC10" s="517"/>
      <c r="AD10" s="517"/>
      <c r="AE10" s="517"/>
      <c r="AF10" s="517"/>
      <c r="AG10" s="517"/>
    </row>
    <row r="11" spans="1:33" ht="45" customHeight="1" thickBot="1" x14ac:dyDescent="0.4">
      <c r="A11" s="511" t="s">
        <v>21</v>
      </c>
      <c r="B11" s="511"/>
      <c r="C11" s="511"/>
      <c r="D11" s="511"/>
      <c r="E11" s="511"/>
      <c r="F11" s="512" t="s">
        <v>22</v>
      </c>
      <c r="G11" s="512"/>
      <c r="H11" s="512"/>
      <c r="I11" s="512"/>
      <c r="J11" s="512"/>
      <c r="K11" s="512"/>
      <c r="L11" s="512"/>
      <c r="M11" s="512"/>
      <c r="N11" s="512"/>
      <c r="O11" s="512"/>
      <c r="P11" s="513" t="s">
        <v>23</v>
      </c>
      <c r="Q11" s="514"/>
      <c r="R11" s="514"/>
      <c r="S11" s="514"/>
      <c r="T11" s="514"/>
      <c r="U11" s="514"/>
      <c r="V11" s="514"/>
      <c r="W11" s="514"/>
      <c r="X11" s="514"/>
      <c r="Y11" s="514"/>
      <c r="Z11" s="514"/>
      <c r="AA11" s="514"/>
      <c r="AB11" s="514"/>
      <c r="AC11" s="514"/>
      <c r="AD11" s="514"/>
      <c r="AE11" s="515"/>
      <c r="AF11" s="320" t="s">
        <v>24</v>
      </c>
      <c r="AG11" s="321"/>
    </row>
    <row r="12" spans="1:33" ht="45" customHeight="1" x14ac:dyDescent="0.35">
      <c r="A12" s="286" t="s">
        <v>25</v>
      </c>
      <c r="B12" s="294" t="s">
        <v>26</v>
      </c>
      <c r="C12" s="294" t="s">
        <v>27</v>
      </c>
      <c r="D12" s="294" t="s">
        <v>28</v>
      </c>
      <c r="E12" s="294" t="s">
        <v>29</v>
      </c>
      <c r="F12" s="294" t="s">
        <v>1424</v>
      </c>
      <c r="G12" s="294" t="s">
        <v>1425</v>
      </c>
      <c r="H12" s="286" t="s">
        <v>1426</v>
      </c>
      <c r="I12" s="286" t="s">
        <v>1427</v>
      </c>
      <c r="J12" s="286" t="s">
        <v>1428</v>
      </c>
      <c r="K12" s="286" t="s">
        <v>1429</v>
      </c>
      <c r="L12" s="286" t="s">
        <v>1430</v>
      </c>
      <c r="M12" s="286" t="s">
        <v>1431</v>
      </c>
      <c r="N12" s="294" t="s">
        <v>1432</v>
      </c>
      <c r="O12" s="310" t="s">
        <v>1433</v>
      </c>
      <c r="P12" s="311" t="s">
        <v>39</v>
      </c>
      <c r="Q12" s="312" t="s">
        <v>40</v>
      </c>
      <c r="R12" s="291" t="s">
        <v>41</v>
      </c>
      <c r="S12" s="291" t="s">
        <v>42</v>
      </c>
      <c r="T12" s="291" t="s">
        <v>43</v>
      </c>
      <c r="U12" s="291" t="s">
        <v>44</v>
      </c>
      <c r="V12" s="291" t="s">
        <v>45</v>
      </c>
      <c r="W12" s="291" t="s">
        <v>46</v>
      </c>
      <c r="X12" s="291" t="s">
        <v>47</v>
      </c>
      <c r="Y12" s="291" t="s">
        <v>48</v>
      </c>
      <c r="Z12" s="291" t="s">
        <v>49</v>
      </c>
      <c r="AA12" s="291" t="s">
        <v>50</v>
      </c>
      <c r="AB12" s="291" t="s">
        <v>51</v>
      </c>
      <c r="AC12" s="291" t="s">
        <v>52</v>
      </c>
      <c r="AD12" s="291" t="s">
        <v>53</v>
      </c>
      <c r="AE12" s="509">
        <v>45658</v>
      </c>
      <c r="AF12" s="435" t="s">
        <v>1434</v>
      </c>
      <c r="AG12" s="394" t="s">
        <v>1435</v>
      </c>
    </row>
    <row r="13" spans="1:33" ht="45"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291"/>
      <c r="AE13" s="510"/>
      <c r="AF13" s="436"/>
      <c r="AG13" s="395"/>
    </row>
    <row r="14" spans="1:33" ht="133.5" customHeight="1" thickBot="1" x14ac:dyDescent="0.4">
      <c r="A14" s="499">
        <v>1</v>
      </c>
      <c r="B14" s="499" t="s">
        <v>70</v>
      </c>
      <c r="C14" s="499" t="s">
        <v>89</v>
      </c>
      <c r="D14" s="499" t="s">
        <v>90</v>
      </c>
      <c r="E14" s="499" t="s">
        <v>91</v>
      </c>
      <c r="F14" s="506" t="s">
        <v>1436</v>
      </c>
      <c r="G14" s="501" t="s">
        <v>1437</v>
      </c>
      <c r="H14" s="501" t="s">
        <v>1438</v>
      </c>
      <c r="I14" s="501" t="s">
        <v>1439</v>
      </c>
      <c r="J14" s="501" t="s">
        <v>1440</v>
      </c>
      <c r="K14" s="501" t="s">
        <v>1441</v>
      </c>
      <c r="L14" s="501"/>
      <c r="M14" s="501" t="s">
        <v>133</v>
      </c>
      <c r="N14" s="501" t="s">
        <v>1442</v>
      </c>
      <c r="O14" s="501" t="s">
        <v>1443</v>
      </c>
      <c r="P14" s="508" t="s">
        <v>1444</v>
      </c>
      <c r="Q14" s="16">
        <f>+(Q15*R14)</f>
        <v>0</v>
      </c>
      <c r="R14" s="17">
        <f>SUM(S14:AE14)</f>
        <v>0</v>
      </c>
      <c r="S14" s="18"/>
      <c r="T14" s="18"/>
      <c r="U14" s="18"/>
      <c r="V14" s="18"/>
      <c r="W14" s="18"/>
      <c r="X14" s="18"/>
      <c r="Y14" s="18"/>
      <c r="Z14" s="18"/>
      <c r="AA14" s="19"/>
      <c r="AB14" s="19"/>
      <c r="AC14" s="19"/>
      <c r="AD14" s="19"/>
      <c r="AE14" s="19"/>
      <c r="AF14" s="505"/>
      <c r="AG14" s="429"/>
    </row>
    <row r="15" spans="1:33" ht="133.5" customHeight="1" thickBot="1" x14ac:dyDescent="0.4">
      <c r="A15" s="500"/>
      <c r="B15" s="500"/>
      <c r="C15" s="500"/>
      <c r="D15" s="500"/>
      <c r="E15" s="500"/>
      <c r="F15" s="507"/>
      <c r="G15" s="502"/>
      <c r="H15" s="502"/>
      <c r="I15" s="502"/>
      <c r="J15" s="502"/>
      <c r="K15" s="502"/>
      <c r="L15" s="502"/>
      <c r="M15" s="502"/>
      <c r="N15" s="502"/>
      <c r="O15" s="502"/>
      <c r="P15" s="508"/>
      <c r="Q15" s="21">
        <f>100%/6</f>
        <v>0.16666666666666666</v>
      </c>
      <c r="R15" s="17">
        <f t="shared" ref="R15" si="0">SUM(S15:AE15)</f>
        <v>1</v>
      </c>
      <c r="S15" s="22"/>
      <c r="T15" s="22"/>
      <c r="U15" s="22"/>
      <c r="V15" s="22"/>
      <c r="W15" s="22"/>
      <c r="X15" s="22">
        <v>0.5</v>
      </c>
      <c r="Y15" s="22"/>
      <c r="Z15" s="22"/>
      <c r="AA15" s="22"/>
      <c r="AB15" s="22"/>
      <c r="AC15" s="22"/>
      <c r="AD15" s="22">
        <v>0.5</v>
      </c>
      <c r="AE15" s="22"/>
      <c r="AF15" s="505"/>
      <c r="AG15" s="429"/>
    </row>
    <row r="16" spans="1:33" ht="133.5" customHeight="1" thickBot="1" x14ac:dyDescent="0.4">
      <c r="A16" s="499">
        <v>2</v>
      </c>
      <c r="B16" s="499" t="s">
        <v>70</v>
      </c>
      <c r="C16" s="499" t="s">
        <v>89</v>
      </c>
      <c r="D16" s="499" t="s">
        <v>90</v>
      </c>
      <c r="E16" s="499" t="s">
        <v>91</v>
      </c>
      <c r="F16" s="499" t="s">
        <v>1445</v>
      </c>
      <c r="G16" s="501" t="s">
        <v>1446</v>
      </c>
      <c r="H16" s="501" t="s">
        <v>1447</v>
      </c>
      <c r="I16" s="501" t="s">
        <v>1439</v>
      </c>
      <c r="J16" s="501" t="s">
        <v>1448</v>
      </c>
      <c r="K16" s="501" t="s">
        <v>1441</v>
      </c>
      <c r="L16" s="501" t="s">
        <v>1441</v>
      </c>
      <c r="M16" s="501" t="s">
        <v>133</v>
      </c>
      <c r="N16" s="501" t="s">
        <v>1449</v>
      </c>
      <c r="O16" s="501" t="s">
        <v>1450</v>
      </c>
      <c r="P16" s="503" t="s">
        <v>1451</v>
      </c>
      <c r="Q16" s="16">
        <f>+(Q17*R16)</f>
        <v>0</v>
      </c>
      <c r="R16" s="17">
        <f>SUM(S16:AE16)</f>
        <v>0</v>
      </c>
      <c r="S16" s="18"/>
      <c r="T16" s="18"/>
      <c r="U16" s="18"/>
      <c r="V16" s="18"/>
      <c r="W16" s="18"/>
      <c r="X16" s="18"/>
      <c r="Y16" s="18"/>
      <c r="Z16" s="18"/>
      <c r="AA16" s="19"/>
      <c r="AB16" s="19"/>
      <c r="AC16" s="19"/>
      <c r="AD16" s="19"/>
      <c r="AE16" s="19"/>
      <c r="AF16" s="505"/>
      <c r="AG16" s="429"/>
    </row>
    <row r="17" spans="1:33" ht="133.5" customHeight="1" thickBot="1" x14ac:dyDescent="0.4">
      <c r="A17" s="500"/>
      <c r="B17" s="500"/>
      <c r="C17" s="500"/>
      <c r="D17" s="500"/>
      <c r="E17" s="500"/>
      <c r="F17" s="500"/>
      <c r="G17" s="502"/>
      <c r="H17" s="502"/>
      <c r="I17" s="502"/>
      <c r="J17" s="502"/>
      <c r="K17" s="502"/>
      <c r="L17" s="502"/>
      <c r="M17" s="502"/>
      <c r="N17" s="502"/>
      <c r="O17" s="502"/>
      <c r="P17" s="504"/>
      <c r="Q17" s="21">
        <f>100%/6</f>
        <v>0.16666666666666666</v>
      </c>
      <c r="R17" s="17">
        <f t="shared" ref="R17:R25" si="1">SUM(S17:AE17)</f>
        <v>1</v>
      </c>
      <c r="S17" s="22"/>
      <c r="T17" s="22"/>
      <c r="U17" s="22"/>
      <c r="V17" s="22"/>
      <c r="W17" s="22"/>
      <c r="X17" s="22">
        <v>0.5</v>
      </c>
      <c r="Y17" s="22"/>
      <c r="Z17" s="22"/>
      <c r="AA17" s="22"/>
      <c r="AB17" s="22"/>
      <c r="AC17" s="22"/>
      <c r="AD17" s="22">
        <v>0.5</v>
      </c>
      <c r="AE17" s="22"/>
      <c r="AF17" s="505"/>
      <c r="AG17" s="429"/>
    </row>
    <row r="18" spans="1:33" ht="133.5" customHeight="1" thickBot="1" x14ac:dyDescent="0.4">
      <c r="A18" s="499">
        <v>3</v>
      </c>
      <c r="B18" s="499" t="s">
        <v>70</v>
      </c>
      <c r="C18" s="499" t="s">
        <v>142</v>
      </c>
      <c r="D18" s="499" t="s">
        <v>60</v>
      </c>
      <c r="E18" s="499" t="s">
        <v>155</v>
      </c>
      <c r="F18" s="499" t="s">
        <v>1452</v>
      </c>
      <c r="G18" s="501" t="s">
        <v>1453</v>
      </c>
      <c r="H18" s="501" t="s">
        <v>1454</v>
      </c>
      <c r="I18" s="501" t="s">
        <v>62</v>
      </c>
      <c r="J18" s="501" t="s">
        <v>1440</v>
      </c>
      <c r="K18" s="501"/>
      <c r="L18" s="501" t="s">
        <v>1441</v>
      </c>
      <c r="M18" s="501" t="s">
        <v>133</v>
      </c>
      <c r="N18" s="501" t="s">
        <v>1455</v>
      </c>
      <c r="O18" s="501" t="s">
        <v>1456</v>
      </c>
      <c r="P18" s="503" t="s">
        <v>1457</v>
      </c>
      <c r="Q18" s="16">
        <f>+(Q19*R18)</f>
        <v>0</v>
      </c>
      <c r="R18" s="17">
        <f t="shared" si="1"/>
        <v>0</v>
      </c>
      <c r="S18" s="18"/>
      <c r="T18" s="18"/>
      <c r="U18" s="18"/>
      <c r="V18" s="18"/>
      <c r="W18" s="18"/>
      <c r="X18" s="18"/>
      <c r="Y18" s="18"/>
      <c r="Z18" s="18"/>
      <c r="AA18" s="19"/>
      <c r="AB18" s="19"/>
      <c r="AC18" s="19"/>
      <c r="AD18" s="19"/>
      <c r="AE18" s="19"/>
      <c r="AF18" s="505"/>
      <c r="AG18" s="429"/>
    </row>
    <row r="19" spans="1:33" ht="133.5" customHeight="1" thickBot="1" x14ac:dyDescent="0.4">
      <c r="A19" s="500"/>
      <c r="B19" s="500"/>
      <c r="C19" s="500"/>
      <c r="D19" s="500"/>
      <c r="E19" s="500"/>
      <c r="F19" s="500"/>
      <c r="G19" s="502"/>
      <c r="H19" s="502"/>
      <c r="I19" s="502"/>
      <c r="J19" s="502"/>
      <c r="K19" s="502"/>
      <c r="L19" s="502"/>
      <c r="M19" s="502"/>
      <c r="N19" s="502"/>
      <c r="O19" s="502"/>
      <c r="P19" s="504"/>
      <c r="Q19" s="21">
        <f>100%/6</f>
        <v>0.16666666666666666</v>
      </c>
      <c r="R19" s="17">
        <f t="shared" si="1"/>
        <v>1</v>
      </c>
      <c r="S19" s="22"/>
      <c r="T19" s="22"/>
      <c r="U19" s="22"/>
      <c r="V19" s="22"/>
      <c r="W19" s="22"/>
      <c r="X19" s="22">
        <v>0.5</v>
      </c>
      <c r="Y19" s="22"/>
      <c r="Z19" s="22"/>
      <c r="AA19" s="22"/>
      <c r="AB19" s="22"/>
      <c r="AC19" s="22"/>
      <c r="AD19" s="22">
        <v>0.5</v>
      </c>
      <c r="AE19" s="22"/>
      <c r="AF19" s="505"/>
      <c r="AG19" s="429"/>
    </row>
    <row r="20" spans="1:33" ht="133.5" customHeight="1" thickBot="1" x14ac:dyDescent="0.4">
      <c r="A20" s="499">
        <v>4</v>
      </c>
      <c r="B20" s="499" t="s">
        <v>76</v>
      </c>
      <c r="C20" s="499" t="s">
        <v>77</v>
      </c>
      <c r="D20" s="499" t="s">
        <v>78</v>
      </c>
      <c r="E20" s="499" t="s">
        <v>79</v>
      </c>
      <c r="F20" s="499" t="s">
        <v>1458</v>
      </c>
      <c r="G20" s="501" t="s">
        <v>1459</v>
      </c>
      <c r="H20" s="501" t="s">
        <v>1460</v>
      </c>
      <c r="I20" s="501" t="s">
        <v>1461</v>
      </c>
      <c r="J20" s="501" t="s">
        <v>1448</v>
      </c>
      <c r="K20" s="501" t="s">
        <v>1441</v>
      </c>
      <c r="L20" s="501" t="s">
        <v>1441</v>
      </c>
      <c r="M20" s="501" t="s">
        <v>133</v>
      </c>
      <c r="N20" s="501" t="s">
        <v>1449</v>
      </c>
      <c r="O20" s="501" t="s">
        <v>1450</v>
      </c>
      <c r="P20" s="503" t="s">
        <v>1462</v>
      </c>
      <c r="Q20" s="16">
        <f>+(Q21*R20)</f>
        <v>0</v>
      </c>
      <c r="R20" s="17">
        <f t="shared" si="1"/>
        <v>0</v>
      </c>
      <c r="S20" s="18"/>
      <c r="T20" s="18"/>
      <c r="U20" s="18"/>
      <c r="V20" s="18"/>
      <c r="W20" s="18"/>
      <c r="X20" s="18"/>
      <c r="Y20" s="18"/>
      <c r="Z20" s="18"/>
      <c r="AA20" s="19"/>
      <c r="AB20" s="19"/>
      <c r="AC20" s="19"/>
      <c r="AD20" s="19"/>
      <c r="AE20" s="19"/>
      <c r="AF20" s="505"/>
      <c r="AG20" s="429"/>
    </row>
    <row r="21" spans="1:33" ht="133.5" customHeight="1" thickBot="1" x14ac:dyDescent="0.4">
      <c r="A21" s="500"/>
      <c r="B21" s="500"/>
      <c r="C21" s="500"/>
      <c r="D21" s="500"/>
      <c r="E21" s="500"/>
      <c r="F21" s="500"/>
      <c r="G21" s="502"/>
      <c r="H21" s="502"/>
      <c r="I21" s="502"/>
      <c r="J21" s="502"/>
      <c r="K21" s="502"/>
      <c r="L21" s="502"/>
      <c r="M21" s="502"/>
      <c r="N21" s="502"/>
      <c r="O21" s="502"/>
      <c r="P21" s="504"/>
      <c r="Q21" s="21">
        <f>100%/6</f>
        <v>0.16666666666666666</v>
      </c>
      <c r="R21" s="17">
        <f t="shared" si="1"/>
        <v>1</v>
      </c>
      <c r="S21" s="22"/>
      <c r="T21" s="22"/>
      <c r="U21" s="22"/>
      <c r="V21" s="22"/>
      <c r="W21" s="22"/>
      <c r="X21" s="22">
        <v>0.5</v>
      </c>
      <c r="Y21" s="22"/>
      <c r="Z21" s="22"/>
      <c r="AA21" s="22"/>
      <c r="AB21" s="22"/>
      <c r="AC21" s="22"/>
      <c r="AD21" s="22">
        <v>0.5</v>
      </c>
      <c r="AE21" s="22"/>
      <c r="AF21" s="505"/>
      <c r="AG21" s="429"/>
    </row>
    <row r="22" spans="1:33" ht="133.5" customHeight="1" thickBot="1" x14ac:dyDescent="0.4">
      <c r="A22" s="499">
        <v>5</v>
      </c>
      <c r="B22" s="499" t="s">
        <v>70</v>
      </c>
      <c r="C22" s="499" t="s">
        <v>98</v>
      </c>
      <c r="D22" s="499" t="s">
        <v>126</v>
      </c>
      <c r="E22" s="499" t="s">
        <v>130</v>
      </c>
      <c r="F22" s="499" t="s">
        <v>1463</v>
      </c>
      <c r="G22" s="501" t="s">
        <v>1464</v>
      </c>
      <c r="H22" s="501" t="s">
        <v>1465</v>
      </c>
      <c r="I22" s="501" t="s">
        <v>246</v>
      </c>
      <c r="J22" s="501" t="s">
        <v>1440</v>
      </c>
      <c r="K22" s="501" t="s">
        <v>1441</v>
      </c>
      <c r="L22" s="501" t="s">
        <v>1441</v>
      </c>
      <c r="M22" s="501" t="s">
        <v>133</v>
      </c>
      <c r="N22" s="501" t="s">
        <v>1449</v>
      </c>
      <c r="O22" s="501" t="s">
        <v>1450</v>
      </c>
      <c r="P22" s="503" t="s">
        <v>1466</v>
      </c>
      <c r="Q22" s="16">
        <f>+(Q23*R22)</f>
        <v>0</v>
      </c>
      <c r="R22" s="17">
        <f t="shared" si="1"/>
        <v>0</v>
      </c>
      <c r="S22" s="25"/>
      <c r="T22" s="25"/>
      <c r="U22" s="25"/>
      <c r="V22" s="18"/>
      <c r="W22" s="18"/>
      <c r="X22" s="18"/>
      <c r="Y22" s="18"/>
      <c r="Z22" s="18"/>
      <c r="AA22" s="19"/>
      <c r="AB22" s="19"/>
      <c r="AC22" s="19"/>
      <c r="AD22" s="19"/>
      <c r="AE22" s="19"/>
      <c r="AF22" s="505"/>
      <c r="AG22" s="429"/>
    </row>
    <row r="23" spans="1:33" ht="133.5" customHeight="1" thickBot="1" x14ac:dyDescent="0.4">
      <c r="A23" s="500"/>
      <c r="B23" s="500"/>
      <c r="C23" s="500"/>
      <c r="D23" s="500"/>
      <c r="E23" s="500"/>
      <c r="F23" s="500"/>
      <c r="G23" s="502"/>
      <c r="H23" s="502"/>
      <c r="I23" s="502"/>
      <c r="J23" s="502"/>
      <c r="K23" s="502"/>
      <c r="L23" s="502"/>
      <c r="M23" s="502"/>
      <c r="N23" s="502"/>
      <c r="O23" s="502"/>
      <c r="P23" s="504"/>
      <c r="Q23" s="21">
        <f>100%/6</f>
        <v>0.16666666666666666</v>
      </c>
      <c r="R23" s="17">
        <f t="shared" si="1"/>
        <v>1</v>
      </c>
      <c r="S23" s="22"/>
      <c r="T23" s="22"/>
      <c r="U23" s="22"/>
      <c r="V23" s="22"/>
      <c r="W23" s="22"/>
      <c r="X23" s="22">
        <v>0.5</v>
      </c>
      <c r="Y23" s="22"/>
      <c r="Z23" s="22"/>
      <c r="AA23" s="22"/>
      <c r="AB23" s="22"/>
      <c r="AC23" s="22"/>
      <c r="AD23" s="22">
        <v>0.5</v>
      </c>
      <c r="AE23" s="22"/>
      <c r="AF23" s="505"/>
      <c r="AG23" s="429"/>
    </row>
    <row r="24" spans="1:33" ht="133.5" customHeight="1" thickBot="1" x14ac:dyDescent="0.4">
      <c r="A24" s="499">
        <v>6</v>
      </c>
      <c r="B24" s="499" t="s">
        <v>70</v>
      </c>
      <c r="C24" s="499" t="s">
        <v>89</v>
      </c>
      <c r="D24" s="499" t="s">
        <v>90</v>
      </c>
      <c r="E24" s="499" t="s">
        <v>91</v>
      </c>
      <c r="F24" s="499" t="s">
        <v>1467</v>
      </c>
      <c r="G24" s="501" t="s">
        <v>1468</v>
      </c>
      <c r="H24" s="501" t="s">
        <v>1469</v>
      </c>
      <c r="I24" s="501" t="s">
        <v>1470</v>
      </c>
      <c r="J24" s="501" t="s">
        <v>1440</v>
      </c>
      <c r="K24" s="501" t="s">
        <v>1441</v>
      </c>
      <c r="L24" s="501" t="s">
        <v>1441</v>
      </c>
      <c r="M24" s="501" t="s">
        <v>133</v>
      </c>
      <c r="N24" s="501" t="s">
        <v>1471</v>
      </c>
      <c r="O24" s="501" t="s">
        <v>1472</v>
      </c>
      <c r="P24" s="503" t="s">
        <v>1473</v>
      </c>
      <c r="Q24" s="16">
        <f>+(Q25*R24)</f>
        <v>0</v>
      </c>
      <c r="R24" s="17">
        <f t="shared" si="1"/>
        <v>0</v>
      </c>
      <c r="S24" s="26"/>
      <c r="T24" s="26"/>
      <c r="U24" s="26"/>
      <c r="V24" s="18"/>
      <c r="W24" s="18"/>
      <c r="X24" s="18"/>
      <c r="Y24" s="18"/>
      <c r="Z24" s="18"/>
      <c r="AA24" s="19"/>
      <c r="AB24" s="19"/>
      <c r="AC24" s="19"/>
      <c r="AD24" s="19"/>
      <c r="AE24" s="19"/>
      <c r="AF24" s="505"/>
      <c r="AG24" s="429"/>
    </row>
    <row r="25" spans="1:33" ht="133.5" customHeight="1" x14ac:dyDescent="0.35">
      <c r="A25" s="500"/>
      <c r="B25" s="500"/>
      <c r="C25" s="500"/>
      <c r="D25" s="500"/>
      <c r="E25" s="500"/>
      <c r="F25" s="500"/>
      <c r="G25" s="502"/>
      <c r="H25" s="502"/>
      <c r="I25" s="502"/>
      <c r="J25" s="502"/>
      <c r="K25" s="502"/>
      <c r="L25" s="502"/>
      <c r="M25" s="502"/>
      <c r="N25" s="502"/>
      <c r="O25" s="502"/>
      <c r="P25" s="504"/>
      <c r="Q25" s="21">
        <f>100%/6</f>
        <v>0.16666666666666666</v>
      </c>
      <c r="R25" s="17">
        <f t="shared" si="1"/>
        <v>1</v>
      </c>
      <c r="S25" s="22"/>
      <c r="T25" s="22"/>
      <c r="U25" s="22"/>
      <c r="V25" s="22"/>
      <c r="W25" s="22"/>
      <c r="X25" s="22">
        <v>0.5</v>
      </c>
      <c r="Y25" s="22"/>
      <c r="Z25" s="22"/>
      <c r="AA25" s="22"/>
      <c r="AB25" s="22"/>
      <c r="AC25" s="22"/>
      <c r="AD25" s="22">
        <v>0.5</v>
      </c>
      <c r="AE25" s="22"/>
      <c r="AF25" s="505"/>
      <c r="AG25" s="429"/>
    </row>
    <row r="27" spans="1:33" hidden="1" x14ac:dyDescent="0.35">
      <c r="B27" s="270" t="s">
        <v>26</v>
      </c>
      <c r="C27" s="270" t="s">
        <v>27</v>
      </c>
      <c r="D27" s="270" t="s">
        <v>28</v>
      </c>
      <c r="E27" s="270" t="s">
        <v>29</v>
      </c>
      <c r="F27" s="270" t="s">
        <v>30</v>
      </c>
      <c r="G27" s="268" t="s">
        <v>31</v>
      </c>
      <c r="H27" s="13"/>
      <c r="I27" s="13"/>
      <c r="J27" s="13"/>
      <c r="K27" s="13"/>
      <c r="L27" s="13"/>
      <c r="M27" s="268" t="s">
        <v>121</v>
      </c>
    </row>
    <row r="28" spans="1:33" hidden="1" x14ac:dyDescent="0.35">
      <c r="B28" s="269"/>
      <c r="C28" s="269"/>
      <c r="D28" s="269"/>
      <c r="E28" s="269"/>
      <c r="F28" s="269"/>
      <c r="G28" s="269"/>
      <c r="H28" s="13"/>
      <c r="I28" s="13"/>
      <c r="J28" s="13"/>
      <c r="K28" s="13"/>
      <c r="L28" s="13"/>
      <c r="M28" s="269"/>
    </row>
    <row r="29" spans="1:33" hidden="1" x14ac:dyDescent="0.35">
      <c r="B29" s="13" t="s">
        <v>70</v>
      </c>
      <c r="C29" s="13" t="s">
        <v>122</v>
      </c>
      <c r="D29" s="13" t="s">
        <v>90</v>
      </c>
      <c r="E29" s="13" t="s">
        <v>91</v>
      </c>
      <c r="F29" s="13" t="s">
        <v>123</v>
      </c>
      <c r="G29" s="13" t="s">
        <v>124</v>
      </c>
      <c r="H29" s="13"/>
      <c r="I29" s="13"/>
      <c r="J29" s="13"/>
      <c r="K29" s="13"/>
      <c r="L29" s="13"/>
      <c r="M29" s="13" t="s">
        <v>125</v>
      </c>
    </row>
    <row r="30" spans="1:33" hidden="1" x14ac:dyDescent="0.35">
      <c r="B30" s="13" t="s">
        <v>94</v>
      </c>
      <c r="C30" s="13" t="s">
        <v>89</v>
      </c>
      <c r="D30" s="13" t="s">
        <v>126</v>
      </c>
      <c r="E30" s="13" t="s">
        <v>127</v>
      </c>
      <c r="F30" s="13" t="s">
        <v>128</v>
      </c>
      <c r="G30" s="13" t="s">
        <v>129</v>
      </c>
      <c r="H30" s="13"/>
      <c r="I30" s="13"/>
      <c r="J30" s="13"/>
      <c r="K30" s="13"/>
      <c r="L30" s="13"/>
      <c r="M30" s="13" t="s">
        <v>67</v>
      </c>
    </row>
    <row r="31" spans="1:33" hidden="1" x14ac:dyDescent="0.35">
      <c r="B31" s="13" t="s">
        <v>58</v>
      </c>
      <c r="C31" s="13" t="s">
        <v>77</v>
      </c>
      <c r="D31" s="13" t="s">
        <v>60</v>
      </c>
      <c r="E31" s="13" t="s">
        <v>130</v>
      </c>
      <c r="F31" s="13" t="s">
        <v>131</v>
      </c>
      <c r="G31" s="13" t="s">
        <v>132</v>
      </c>
      <c r="H31" s="13"/>
      <c r="I31" s="13"/>
      <c r="J31" s="13"/>
      <c r="K31" s="13"/>
      <c r="L31" s="13"/>
      <c r="M31" s="13" t="s">
        <v>133</v>
      </c>
    </row>
    <row r="32" spans="1:33" hidden="1" x14ac:dyDescent="0.35">
      <c r="B32" s="13" t="s">
        <v>76</v>
      </c>
      <c r="C32" s="13" t="s">
        <v>82</v>
      </c>
      <c r="D32" s="13" t="s">
        <v>134</v>
      </c>
      <c r="E32" s="13" t="s">
        <v>135</v>
      </c>
      <c r="F32" s="13" t="s">
        <v>136</v>
      </c>
      <c r="G32" s="13" t="s">
        <v>137</v>
      </c>
      <c r="H32" s="13"/>
      <c r="I32" s="13"/>
      <c r="J32" s="13"/>
      <c r="K32" s="13"/>
      <c r="L32" s="13"/>
      <c r="M32" s="13"/>
    </row>
    <row r="33" spans="2:13" hidden="1" x14ac:dyDescent="0.35">
      <c r="B33" s="13" t="s">
        <v>81</v>
      </c>
      <c r="C33" s="13" t="s">
        <v>98</v>
      </c>
      <c r="D33" s="13" t="s">
        <v>71</v>
      </c>
      <c r="E33" s="13" t="s">
        <v>138</v>
      </c>
      <c r="F33" s="13" t="s">
        <v>139</v>
      </c>
      <c r="G33" s="13" t="s">
        <v>140</v>
      </c>
      <c r="H33" s="13"/>
      <c r="I33" s="13"/>
      <c r="J33" s="13"/>
      <c r="K33" s="13"/>
      <c r="L33" s="13"/>
      <c r="M33" s="13"/>
    </row>
    <row r="34" spans="2:13" hidden="1" x14ac:dyDescent="0.35">
      <c r="B34" s="13" t="s">
        <v>141</v>
      </c>
      <c r="C34" s="13" t="s">
        <v>142</v>
      </c>
      <c r="D34" s="13" t="s">
        <v>78</v>
      </c>
      <c r="E34" s="13" t="s">
        <v>104</v>
      </c>
      <c r="F34" s="13" t="s">
        <v>143</v>
      </c>
      <c r="G34" s="13" t="s">
        <v>87</v>
      </c>
      <c r="H34" s="13"/>
      <c r="I34" s="13"/>
      <c r="J34" s="13"/>
      <c r="K34" s="13"/>
      <c r="L34" s="13"/>
      <c r="M34" s="13"/>
    </row>
    <row r="35" spans="2:13" hidden="1" x14ac:dyDescent="0.35">
      <c r="B35" s="13" t="s">
        <v>144</v>
      </c>
      <c r="C35" s="13" t="s">
        <v>145</v>
      </c>
      <c r="D35" s="13" t="s">
        <v>146</v>
      </c>
      <c r="E35" s="13" t="s">
        <v>83</v>
      </c>
      <c r="F35" s="13" t="s">
        <v>147</v>
      </c>
      <c r="G35" s="13" t="s">
        <v>148</v>
      </c>
      <c r="H35" s="13"/>
      <c r="I35" s="13"/>
      <c r="J35" s="13"/>
      <c r="K35" s="13"/>
      <c r="L35" s="13"/>
      <c r="M35" s="13"/>
    </row>
    <row r="36" spans="2:13" hidden="1" x14ac:dyDescent="0.35">
      <c r="B36" s="13" t="s">
        <v>149</v>
      </c>
      <c r="C36" s="13" t="s">
        <v>150</v>
      </c>
      <c r="D36" s="13"/>
      <c r="E36" s="13" t="s">
        <v>86</v>
      </c>
      <c r="F36" s="13" t="s">
        <v>151</v>
      </c>
      <c r="G36" s="13" t="s">
        <v>105</v>
      </c>
      <c r="H36" s="13"/>
      <c r="I36" s="13"/>
      <c r="J36" s="13"/>
      <c r="K36" s="13"/>
      <c r="L36" s="13"/>
      <c r="M36" s="13"/>
    </row>
    <row r="37" spans="2:13" hidden="1" x14ac:dyDescent="0.35">
      <c r="B37" s="13"/>
      <c r="C37" s="13" t="s">
        <v>103</v>
      </c>
      <c r="D37" s="13"/>
      <c r="E37" s="13" t="s">
        <v>95</v>
      </c>
      <c r="F37" s="13" t="s">
        <v>152</v>
      </c>
      <c r="G37" s="13" t="s">
        <v>73</v>
      </c>
      <c r="H37" s="13"/>
      <c r="I37" s="13"/>
      <c r="J37" s="13"/>
      <c r="K37" s="13"/>
      <c r="L37" s="13"/>
      <c r="M37" s="13"/>
    </row>
    <row r="38" spans="2:13" hidden="1" x14ac:dyDescent="0.35">
      <c r="B38" s="13"/>
      <c r="C38" s="13" t="s">
        <v>59</v>
      </c>
      <c r="D38" s="13"/>
      <c r="E38" s="13" t="s">
        <v>153</v>
      </c>
      <c r="F38" s="13" t="s">
        <v>154</v>
      </c>
      <c r="G38" s="13" t="s">
        <v>92</v>
      </c>
      <c r="H38" s="13"/>
      <c r="I38" s="13"/>
      <c r="J38" s="13"/>
      <c r="K38" s="13"/>
      <c r="L38" s="13"/>
      <c r="M38" s="13"/>
    </row>
    <row r="39" spans="2:13" hidden="1" x14ac:dyDescent="0.35">
      <c r="B39" s="13"/>
      <c r="C39" s="13"/>
      <c r="D39" s="13"/>
      <c r="E39" s="13" t="s">
        <v>155</v>
      </c>
      <c r="F39" s="13" t="s">
        <v>156</v>
      </c>
      <c r="G39" s="13" t="s">
        <v>100</v>
      </c>
      <c r="H39" s="13"/>
      <c r="I39" s="13"/>
      <c r="J39" s="13"/>
      <c r="K39" s="13"/>
      <c r="L39" s="13"/>
      <c r="M39" s="13"/>
    </row>
    <row r="40" spans="2:13" hidden="1" x14ac:dyDescent="0.35">
      <c r="B40" s="13"/>
      <c r="C40" s="13"/>
      <c r="D40" s="13"/>
      <c r="E40" s="13" t="s">
        <v>157</v>
      </c>
      <c r="F40" s="13" t="s">
        <v>158</v>
      </c>
      <c r="G40" s="13" t="s">
        <v>159</v>
      </c>
      <c r="H40" s="13"/>
      <c r="I40" s="13"/>
      <c r="J40" s="13"/>
      <c r="K40" s="13"/>
      <c r="L40" s="13"/>
      <c r="M40" s="13"/>
    </row>
    <row r="41" spans="2:13" hidden="1" x14ac:dyDescent="0.35">
      <c r="B41" s="13"/>
      <c r="C41" s="13"/>
      <c r="D41" s="13"/>
      <c r="E41" s="13" t="s">
        <v>61</v>
      </c>
      <c r="F41" s="13"/>
      <c r="G41" s="13" t="s">
        <v>160</v>
      </c>
      <c r="H41" s="13"/>
      <c r="I41" s="13"/>
      <c r="J41" s="13"/>
      <c r="K41" s="13"/>
      <c r="L41" s="13"/>
      <c r="M41" s="13"/>
    </row>
    <row r="42" spans="2:13" hidden="1" x14ac:dyDescent="0.35">
      <c r="B42" s="13"/>
      <c r="C42" s="13"/>
      <c r="D42" s="13"/>
      <c r="E42" s="13" t="s">
        <v>161</v>
      </c>
      <c r="F42" s="13"/>
      <c r="G42" s="13" t="s">
        <v>162</v>
      </c>
      <c r="H42" s="13"/>
      <c r="I42" s="13"/>
      <c r="J42" s="13"/>
      <c r="K42" s="13"/>
      <c r="L42" s="13"/>
      <c r="M42" s="13"/>
    </row>
    <row r="43" spans="2:13" hidden="1" x14ac:dyDescent="0.35">
      <c r="B43" s="13"/>
      <c r="C43" s="13"/>
      <c r="D43" s="13"/>
      <c r="E43" s="13" t="s">
        <v>72</v>
      </c>
      <c r="F43" s="13"/>
      <c r="G43" s="13" t="s">
        <v>163</v>
      </c>
      <c r="H43" s="13"/>
      <c r="I43" s="13"/>
      <c r="J43" s="13"/>
      <c r="K43" s="13"/>
      <c r="L43" s="13"/>
      <c r="M43" s="13"/>
    </row>
    <row r="44" spans="2:13" hidden="1" x14ac:dyDescent="0.35">
      <c r="B44" s="13"/>
      <c r="C44" s="13"/>
      <c r="D44" s="13"/>
      <c r="E44" s="13" t="s">
        <v>99</v>
      </c>
      <c r="F44" s="13"/>
      <c r="G44" s="13" t="s">
        <v>164</v>
      </c>
      <c r="H44" s="13"/>
      <c r="I44" s="13"/>
      <c r="J44" s="13"/>
      <c r="K44" s="13"/>
      <c r="L44" s="13"/>
      <c r="M44" s="13"/>
    </row>
    <row r="45" spans="2:13" hidden="1" x14ac:dyDescent="0.35">
      <c r="B45" s="13"/>
      <c r="C45" s="13"/>
      <c r="D45" s="13"/>
      <c r="E45" s="13" t="s">
        <v>165</v>
      </c>
      <c r="F45" s="13"/>
      <c r="G45" s="13" t="s">
        <v>166</v>
      </c>
      <c r="H45" s="13"/>
      <c r="I45" s="13"/>
      <c r="J45" s="13"/>
      <c r="K45" s="13"/>
      <c r="L45" s="13"/>
      <c r="M45" s="13"/>
    </row>
    <row r="46" spans="2:13" hidden="1" x14ac:dyDescent="0.35">
      <c r="B46" s="13"/>
      <c r="C46" s="13"/>
      <c r="D46" s="13"/>
      <c r="E46" s="13" t="s">
        <v>79</v>
      </c>
      <c r="F46" s="13"/>
      <c r="G46" s="13" t="s">
        <v>167</v>
      </c>
      <c r="H46" s="13"/>
      <c r="I46" s="13"/>
      <c r="J46" s="13"/>
      <c r="K46" s="13"/>
      <c r="L46" s="13"/>
      <c r="M46" s="13"/>
    </row>
    <row r="47" spans="2:13" hidden="1" x14ac:dyDescent="0.35">
      <c r="B47" s="13"/>
      <c r="C47" s="13"/>
      <c r="D47" s="13"/>
      <c r="E47" s="13" t="s">
        <v>168</v>
      </c>
      <c r="F47" s="13"/>
      <c r="G47" s="13" t="s">
        <v>169</v>
      </c>
      <c r="H47" s="13"/>
      <c r="I47" s="13"/>
      <c r="J47" s="13"/>
      <c r="K47" s="13"/>
      <c r="L47" s="13"/>
      <c r="M47" s="13"/>
    </row>
    <row r="48" spans="2:13" hidden="1" x14ac:dyDescent="0.35">
      <c r="B48" s="13"/>
      <c r="C48" s="13"/>
      <c r="D48" s="13"/>
      <c r="E48" s="13"/>
      <c r="F48" s="13"/>
      <c r="G48" s="13" t="s">
        <v>170</v>
      </c>
      <c r="H48" s="13"/>
      <c r="I48" s="13"/>
      <c r="J48" s="13"/>
      <c r="K48" s="13"/>
      <c r="L48" s="13"/>
      <c r="M48" s="13"/>
    </row>
    <row r="49" spans="2:13" hidden="1" x14ac:dyDescent="0.35">
      <c r="B49" s="13"/>
      <c r="C49" s="13"/>
      <c r="D49" s="13"/>
      <c r="E49" s="13"/>
      <c r="F49" s="13"/>
      <c r="G49" s="13" t="s">
        <v>171</v>
      </c>
      <c r="H49" s="13"/>
      <c r="I49" s="13"/>
      <c r="J49" s="13"/>
      <c r="K49" s="13"/>
      <c r="L49" s="13"/>
      <c r="M49" s="13"/>
    </row>
    <row r="50" spans="2:13" hidden="1" x14ac:dyDescent="0.35">
      <c r="B50" s="13"/>
      <c r="C50" s="13"/>
      <c r="D50" s="13"/>
      <c r="E50" s="13"/>
      <c r="F50" s="13"/>
      <c r="G50" s="13" t="s">
        <v>172</v>
      </c>
      <c r="H50" s="13"/>
      <c r="I50" s="13"/>
      <c r="J50" s="13"/>
      <c r="K50" s="13"/>
      <c r="L50" s="13"/>
      <c r="M50" s="13"/>
    </row>
    <row r="51" spans="2:13" hidden="1" x14ac:dyDescent="0.35">
      <c r="B51" s="13"/>
      <c r="C51" s="13"/>
      <c r="D51" s="13"/>
      <c r="E51" s="13"/>
      <c r="F51" s="13"/>
      <c r="G51" s="13" t="s">
        <v>173</v>
      </c>
      <c r="H51" s="13"/>
      <c r="I51" s="13"/>
      <c r="J51" s="13"/>
      <c r="K51" s="13"/>
      <c r="L51" s="13"/>
      <c r="M51" s="13"/>
    </row>
    <row r="52" spans="2:13" hidden="1" x14ac:dyDescent="0.35">
      <c r="B52" s="13"/>
      <c r="C52" s="13"/>
      <c r="D52" s="13"/>
      <c r="E52" s="13"/>
      <c r="F52" s="13"/>
      <c r="G52" s="13" t="s">
        <v>174</v>
      </c>
      <c r="H52" s="13"/>
      <c r="I52" s="13"/>
      <c r="J52" s="13"/>
      <c r="K52" s="13"/>
      <c r="L52" s="13"/>
      <c r="M52" s="13"/>
    </row>
    <row r="53" spans="2:13" hidden="1" x14ac:dyDescent="0.35">
      <c r="B53" s="13"/>
      <c r="C53" s="13"/>
      <c r="D53" s="13"/>
      <c r="E53" s="13"/>
      <c r="F53" s="13"/>
      <c r="G53" s="13" t="s">
        <v>175</v>
      </c>
      <c r="H53" s="13"/>
      <c r="I53" s="13"/>
      <c r="J53" s="13"/>
      <c r="K53" s="13"/>
      <c r="L53" s="13"/>
      <c r="M53" s="13"/>
    </row>
    <row r="54" spans="2:13" hidden="1" x14ac:dyDescent="0.35">
      <c r="B54" s="13"/>
      <c r="C54" s="13"/>
      <c r="D54" s="13"/>
      <c r="E54" s="13"/>
      <c r="F54" s="13"/>
      <c r="G54" s="13" t="s">
        <v>176</v>
      </c>
      <c r="H54" s="13"/>
      <c r="I54" s="13"/>
      <c r="J54" s="13"/>
      <c r="K54" s="13"/>
      <c r="L54" s="13"/>
      <c r="M54" s="13"/>
    </row>
    <row r="55" spans="2:13" hidden="1" x14ac:dyDescent="0.35">
      <c r="B55" s="13"/>
      <c r="C55" s="13"/>
      <c r="D55" s="13"/>
      <c r="E55" s="13"/>
      <c r="F55" s="13"/>
      <c r="G55" s="13" t="s">
        <v>177</v>
      </c>
      <c r="H55" s="13"/>
      <c r="I55" s="13"/>
      <c r="J55" s="13"/>
      <c r="K55" s="13"/>
      <c r="L55" s="13"/>
      <c r="M55" s="13"/>
    </row>
    <row r="56" spans="2:13" hidden="1" x14ac:dyDescent="0.35">
      <c r="B56" s="13"/>
      <c r="C56" s="13"/>
      <c r="D56" s="13"/>
      <c r="E56" s="13"/>
      <c r="F56" s="13"/>
      <c r="G56" s="13" t="s">
        <v>178</v>
      </c>
      <c r="H56" s="13"/>
      <c r="I56" s="13"/>
      <c r="J56" s="13"/>
      <c r="K56" s="13"/>
      <c r="L56" s="13"/>
      <c r="M56" s="13"/>
    </row>
    <row r="57" spans="2:13" hidden="1" x14ac:dyDescent="0.35">
      <c r="B57" s="13"/>
      <c r="C57" s="13"/>
      <c r="D57" s="13"/>
      <c r="E57" s="13"/>
      <c r="F57" s="13"/>
      <c r="G57" s="13" t="s">
        <v>179</v>
      </c>
      <c r="H57" s="13"/>
      <c r="I57" s="13"/>
      <c r="J57" s="13"/>
      <c r="K57" s="13"/>
      <c r="L57" s="13"/>
      <c r="M57" s="13"/>
    </row>
    <row r="58" spans="2:13" hidden="1" x14ac:dyDescent="0.35">
      <c r="B58" s="13"/>
      <c r="C58" s="13"/>
      <c r="D58" s="13"/>
      <c r="E58" s="13"/>
      <c r="F58" s="13"/>
      <c r="G58" s="13" t="s">
        <v>180</v>
      </c>
      <c r="H58" s="13"/>
      <c r="I58" s="13"/>
      <c r="J58" s="13"/>
      <c r="K58" s="13"/>
      <c r="L58" s="13"/>
      <c r="M58" s="13"/>
    </row>
    <row r="59" spans="2:13" hidden="1" x14ac:dyDescent="0.35">
      <c r="B59" s="13"/>
      <c r="C59" s="13"/>
      <c r="D59" s="13"/>
      <c r="E59" s="13"/>
      <c r="F59" s="13"/>
      <c r="G59" s="13" t="s">
        <v>181</v>
      </c>
      <c r="H59" s="13"/>
      <c r="I59" s="13"/>
      <c r="J59" s="13"/>
      <c r="K59" s="13"/>
      <c r="L59" s="13"/>
      <c r="M59" s="13"/>
    </row>
    <row r="60" spans="2:13" hidden="1" x14ac:dyDescent="0.35">
      <c r="B60" s="13"/>
      <c r="C60" s="13"/>
      <c r="D60" s="13"/>
      <c r="E60" s="13"/>
      <c r="F60" s="13"/>
      <c r="G60" s="13" t="s">
        <v>182</v>
      </c>
      <c r="H60" s="13"/>
      <c r="I60" s="13"/>
      <c r="J60" s="13"/>
      <c r="K60" s="13"/>
      <c r="L60" s="13"/>
      <c r="M60" s="13"/>
    </row>
    <row r="61" spans="2:13" hidden="1" x14ac:dyDescent="0.35">
      <c r="B61" s="13"/>
      <c r="C61" s="13"/>
      <c r="D61" s="13"/>
      <c r="E61" s="13"/>
      <c r="F61" s="13"/>
      <c r="G61" s="13" t="s">
        <v>183</v>
      </c>
      <c r="H61" s="13"/>
      <c r="I61" s="13"/>
      <c r="J61" s="13"/>
      <c r="K61" s="13"/>
      <c r="L61" s="13"/>
      <c r="M61" s="13"/>
    </row>
    <row r="62" spans="2:13" hidden="1" x14ac:dyDescent="0.35">
      <c r="B62" s="13"/>
      <c r="C62" s="13"/>
      <c r="D62" s="13"/>
      <c r="E62" s="13"/>
      <c r="F62" s="13"/>
      <c r="G62" s="13" t="s">
        <v>184</v>
      </c>
      <c r="H62" s="13"/>
      <c r="I62" s="13"/>
      <c r="J62" s="13"/>
      <c r="K62" s="13"/>
      <c r="L62" s="13"/>
      <c r="M62" s="13"/>
    </row>
    <row r="63" spans="2:13" hidden="1" x14ac:dyDescent="0.35">
      <c r="B63" s="13"/>
      <c r="C63" s="13"/>
      <c r="D63" s="13"/>
      <c r="E63" s="13"/>
      <c r="F63" s="13"/>
      <c r="G63" s="13" t="s">
        <v>96</v>
      </c>
      <c r="H63" s="13"/>
      <c r="I63" s="13"/>
      <c r="J63" s="13"/>
      <c r="K63" s="13"/>
      <c r="L63" s="13"/>
      <c r="M63" s="13"/>
    </row>
    <row r="64" spans="2:13" hidden="1" x14ac:dyDescent="0.35">
      <c r="B64" s="13"/>
      <c r="C64" s="13"/>
      <c r="D64" s="13"/>
      <c r="E64" s="13"/>
      <c r="F64" s="13"/>
      <c r="G64" s="13" t="s">
        <v>185</v>
      </c>
      <c r="H64" s="13"/>
      <c r="I64" s="13"/>
      <c r="J64" s="13"/>
      <c r="K64" s="13"/>
      <c r="L64" s="13"/>
      <c r="M64" s="13"/>
    </row>
    <row r="65" spans="2:13" hidden="1" x14ac:dyDescent="0.35">
      <c r="B65" s="13"/>
      <c r="C65" s="13"/>
      <c r="D65" s="13"/>
      <c r="E65" s="13"/>
      <c r="F65" s="13"/>
      <c r="G65" s="13" t="s">
        <v>186</v>
      </c>
      <c r="H65" s="13"/>
      <c r="I65" s="13"/>
      <c r="J65" s="13"/>
      <c r="K65" s="13"/>
      <c r="L65" s="13"/>
      <c r="M65" s="13"/>
    </row>
    <row r="66" spans="2:13" hidden="1" x14ac:dyDescent="0.35">
      <c r="B66" s="13"/>
      <c r="C66" s="13"/>
      <c r="D66" s="13"/>
      <c r="E66" s="13"/>
      <c r="F66" s="13"/>
      <c r="G66" s="13" t="s">
        <v>187</v>
      </c>
      <c r="H66" s="13"/>
      <c r="I66" s="13"/>
      <c r="J66" s="13"/>
      <c r="K66" s="13"/>
      <c r="L66" s="13"/>
      <c r="M66" s="13"/>
    </row>
    <row r="67" spans="2:13" hidden="1" x14ac:dyDescent="0.35">
      <c r="B67" s="13"/>
      <c r="C67" s="13"/>
      <c r="D67" s="13"/>
      <c r="E67" s="13"/>
      <c r="F67" s="13"/>
      <c r="G67" s="13" t="s">
        <v>62</v>
      </c>
      <c r="H67" s="13"/>
      <c r="I67" s="13"/>
      <c r="J67" s="13"/>
      <c r="K67" s="13"/>
      <c r="L67" s="13"/>
      <c r="M67" s="13"/>
    </row>
    <row r="68" spans="2:13" hidden="1" x14ac:dyDescent="0.35">
      <c r="B68" s="13"/>
      <c r="C68" s="13"/>
      <c r="D68" s="13"/>
      <c r="E68" s="13"/>
      <c r="F68" s="13"/>
      <c r="G68" s="13" t="s">
        <v>188</v>
      </c>
      <c r="H68" s="13"/>
      <c r="I68" s="13"/>
      <c r="J68" s="13"/>
      <c r="K68" s="13"/>
      <c r="L68" s="13"/>
      <c r="M68" s="13"/>
    </row>
    <row r="69" spans="2:13" hidden="1" x14ac:dyDescent="0.35">
      <c r="B69" s="13"/>
      <c r="C69" s="13"/>
      <c r="D69" s="13"/>
      <c r="E69" s="13"/>
      <c r="F69" s="13"/>
      <c r="G69" s="13" t="s">
        <v>189</v>
      </c>
      <c r="H69" s="13"/>
      <c r="I69" s="13"/>
      <c r="J69" s="13"/>
      <c r="K69" s="13"/>
      <c r="L69" s="13"/>
      <c r="M69" s="13"/>
    </row>
    <row r="70" spans="2:13" hidden="1" x14ac:dyDescent="0.35">
      <c r="B70" s="13"/>
      <c r="C70" s="13"/>
      <c r="D70" s="13"/>
      <c r="E70" s="13"/>
      <c r="F70" s="13"/>
      <c r="G70" s="13" t="s">
        <v>190</v>
      </c>
      <c r="H70" s="13"/>
      <c r="I70" s="13"/>
      <c r="J70" s="13"/>
      <c r="K70" s="13"/>
      <c r="L70" s="13"/>
      <c r="M70" s="13"/>
    </row>
    <row r="71" spans="2:13" hidden="1" x14ac:dyDescent="0.35">
      <c r="B71" s="13"/>
      <c r="C71" s="13"/>
      <c r="D71" s="13"/>
      <c r="E71" s="13"/>
      <c r="F71" s="13"/>
      <c r="G71" s="13" t="s">
        <v>191</v>
      </c>
      <c r="H71" s="13"/>
      <c r="I71" s="13"/>
      <c r="J71" s="13"/>
      <c r="K71" s="13"/>
      <c r="L71" s="13"/>
      <c r="M71" s="13"/>
    </row>
    <row r="72" spans="2:13" hidden="1" x14ac:dyDescent="0.35">
      <c r="B72" s="13"/>
      <c r="C72" s="13"/>
      <c r="D72" s="13"/>
      <c r="E72" s="13"/>
      <c r="F72" s="13"/>
      <c r="G72" s="13" t="s">
        <v>192</v>
      </c>
      <c r="H72" s="13"/>
      <c r="I72" s="13"/>
      <c r="J72" s="13"/>
      <c r="K72" s="13"/>
      <c r="L72" s="13"/>
      <c r="M72" s="13"/>
    </row>
    <row r="73" spans="2:13" hidden="1" x14ac:dyDescent="0.35">
      <c r="B73" s="13"/>
      <c r="C73" s="13"/>
      <c r="D73" s="13"/>
      <c r="E73" s="13"/>
      <c r="F73" s="13"/>
      <c r="G73" s="13" t="s">
        <v>193</v>
      </c>
      <c r="H73" s="13"/>
      <c r="I73" s="13"/>
      <c r="J73" s="13"/>
      <c r="K73" s="13"/>
      <c r="L73" s="13"/>
      <c r="M73" s="13"/>
    </row>
    <row r="74" spans="2:13" hidden="1" x14ac:dyDescent="0.35">
      <c r="B74" s="13"/>
      <c r="C74" s="13"/>
      <c r="D74" s="13"/>
      <c r="E74" s="13"/>
      <c r="F74" s="13"/>
      <c r="G74" s="13" t="s">
        <v>194</v>
      </c>
      <c r="H74" s="13"/>
      <c r="I74" s="13"/>
      <c r="J74" s="13"/>
      <c r="K74" s="13"/>
      <c r="L74" s="13"/>
      <c r="M74" s="13"/>
    </row>
    <row r="75" spans="2:13" hidden="1" x14ac:dyDescent="0.35">
      <c r="B75" s="13"/>
      <c r="C75" s="13"/>
      <c r="D75" s="13"/>
      <c r="E75" s="13"/>
      <c r="F75" s="13"/>
      <c r="G75" s="13" t="s">
        <v>195</v>
      </c>
      <c r="H75" s="13"/>
      <c r="I75" s="13"/>
      <c r="J75" s="13"/>
      <c r="K75" s="13"/>
      <c r="L75" s="13"/>
      <c r="M75" s="13"/>
    </row>
    <row r="76" spans="2:13" hidden="1" x14ac:dyDescent="0.35">
      <c r="B76" s="13"/>
      <c r="C76" s="13"/>
      <c r="D76" s="13"/>
      <c r="E76" s="13"/>
      <c r="F76" s="13"/>
      <c r="G76" s="13" t="s">
        <v>196</v>
      </c>
      <c r="H76" s="13"/>
      <c r="I76" s="13"/>
      <c r="J76" s="13"/>
      <c r="K76" s="13"/>
      <c r="L76" s="13"/>
      <c r="M76" s="13"/>
    </row>
    <row r="77" spans="2:13" hidden="1" x14ac:dyDescent="0.35">
      <c r="B77" s="13"/>
      <c r="C77" s="13"/>
      <c r="D77" s="13"/>
      <c r="E77" s="13"/>
      <c r="F77" s="13"/>
      <c r="G77" s="13" t="s">
        <v>197</v>
      </c>
      <c r="H77" s="13"/>
      <c r="I77" s="13"/>
      <c r="J77" s="13"/>
      <c r="K77" s="13"/>
      <c r="L77" s="13"/>
      <c r="M77" s="13"/>
    </row>
    <row r="78" spans="2:13" hidden="1" x14ac:dyDescent="0.35">
      <c r="B78" s="13"/>
      <c r="C78" s="13"/>
      <c r="D78" s="13"/>
      <c r="E78" s="13"/>
      <c r="F78" s="13"/>
      <c r="G78" s="13" t="s">
        <v>198</v>
      </c>
      <c r="H78" s="13"/>
      <c r="I78" s="13"/>
      <c r="J78" s="13"/>
      <c r="K78" s="13"/>
      <c r="L78" s="13"/>
      <c r="M78" s="13"/>
    </row>
    <row r="79" spans="2:13" hidden="1" x14ac:dyDescent="0.35">
      <c r="B79" s="13"/>
      <c r="C79" s="13"/>
      <c r="D79" s="13"/>
      <c r="E79" s="13"/>
      <c r="F79" s="13"/>
      <c r="G79" s="13" t="s">
        <v>199</v>
      </c>
      <c r="H79" s="13"/>
      <c r="I79" s="13"/>
      <c r="J79" s="13"/>
      <c r="K79" s="13"/>
      <c r="L79" s="13"/>
      <c r="M79" s="13"/>
    </row>
    <row r="80" spans="2:13" hidden="1" x14ac:dyDescent="0.35">
      <c r="B80" s="13"/>
      <c r="C80" s="13"/>
      <c r="D80" s="13"/>
      <c r="E80" s="13"/>
      <c r="F80" s="13"/>
      <c r="G80" s="13" t="s">
        <v>200</v>
      </c>
      <c r="H80" s="13"/>
      <c r="I80" s="13"/>
      <c r="J80" s="13"/>
      <c r="K80" s="13"/>
      <c r="L80" s="13"/>
      <c r="M80" s="13"/>
    </row>
    <row r="81" spans="2:13" hidden="1" x14ac:dyDescent="0.35">
      <c r="B81" s="13"/>
      <c r="C81" s="13"/>
      <c r="D81" s="13"/>
      <c r="E81" s="13"/>
      <c r="F81" s="13"/>
      <c r="G81" s="13" t="s">
        <v>14</v>
      </c>
      <c r="H81" s="13"/>
      <c r="I81" s="13"/>
      <c r="J81" s="13"/>
      <c r="K81" s="13"/>
      <c r="L81" s="13"/>
      <c r="M81" s="13"/>
    </row>
    <row r="82" spans="2:13" hidden="1" x14ac:dyDescent="0.35">
      <c r="B82" s="13"/>
      <c r="C82" s="13"/>
      <c r="D82" s="13"/>
      <c r="E82" s="13"/>
      <c r="F82" s="13"/>
      <c r="G82" s="13" t="s">
        <v>201</v>
      </c>
      <c r="H82" s="13"/>
      <c r="I82" s="13"/>
      <c r="J82" s="13"/>
      <c r="K82" s="13"/>
      <c r="L82" s="13"/>
      <c r="M82" s="13"/>
    </row>
    <row r="83" spans="2:13" hidden="1" x14ac:dyDescent="0.35">
      <c r="B83" s="13"/>
      <c r="C83" s="13"/>
      <c r="D83" s="13"/>
      <c r="E83" s="13"/>
      <c r="F83" s="13"/>
      <c r="G83" s="13" t="s">
        <v>84</v>
      </c>
      <c r="H83" s="13"/>
      <c r="I83" s="13"/>
      <c r="J83" s="13"/>
      <c r="K83" s="13"/>
      <c r="L83" s="13"/>
      <c r="M83" s="13"/>
    </row>
    <row r="84" spans="2:13" hidden="1" x14ac:dyDescent="0.35">
      <c r="B84" s="13"/>
      <c r="C84" s="13"/>
      <c r="D84" s="13"/>
      <c r="E84" s="13"/>
      <c r="F84" s="13"/>
      <c r="G84" s="13" t="s">
        <v>202</v>
      </c>
      <c r="H84" s="13"/>
      <c r="I84" s="13"/>
      <c r="J84" s="13"/>
      <c r="K84" s="13"/>
      <c r="L84" s="13"/>
      <c r="M84" s="13"/>
    </row>
    <row r="85" spans="2:13" hidden="1" x14ac:dyDescent="0.35">
      <c r="B85" s="13"/>
      <c r="C85" s="13"/>
      <c r="D85" s="13"/>
      <c r="E85" s="13"/>
      <c r="F85" s="13"/>
      <c r="G85" s="13" t="s">
        <v>203</v>
      </c>
      <c r="H85" s="13"/>
      <c r="I85" s="13"/>
      <c r="J85" s="13"/>
      <c r="K85" s="13"/>
      <c r="L85" s="13"/>
      <c r="M85" s="13"/>
    </row>
    <row r="86" spans="2:13" hidden="1" x14ac:dyDescent="0.35">
      <c r="B86" s="13"/>
      <c r="C86" s="13"/>
      <c r="D86" s="13"/>
      <c r="E86" s="13"/>
      <c r="F86" s="13"/>
      <c r="G86" s="13" t="s">
        <v>204</v>
      </c>
      <c r="H86" s="13"/>
      <c r="I86" s="13"/>
      <c r="J86" s="13"/>
      <c r="K86" s="13"/>
      <c r="L86" s="13"/>
      <c r="M86" s="13"/>
    </row>
    <row r="87" spans="2:13" hidden="1" x14ac:dyDescent="0.35">
      <c r="B87" s="13"/>
      <c r="C87" s="13"/>
      <c r="D87" s="13"/>
      <c r="E87" s="13"/>
      <c r="F87" s="13"/>
      <c r="G87" s="13" t="s">
        <v>205</v>
      </c>
      <c r="H87" s="13"/>
      <c r="I87" s="13"/>
      <c r="J87" s="13"/>
      <c r="K87" s="13"/>
      <c r="L87" s="13"/>
      <c r="M87" s="13"/>
    </row>
    <row r="88" spans="2:13" hidden="1" x14ac:dyDescent="0.35">
      <c r="B88" s="13"/>
      <c r="C88" s="13"/>
      <c r="D88" s="13"/>
      <c r="E88" s="13"/>
      <c r="F88" s="13"/>
      <c r="G88" s="13" t="s">
        <v>206</v>
      </c>
      <c r="H88" s="13"/>
      <c r="I88" s="13"/>
      <c r="J88" s="13"/>
      <c r="K88" s="13"/>
      <c r="L88" s="13"/>
      <c r="M88" s="13"/>
    </row>
    <row r="89" spans="2:13" hidden="1" x14ac:dyDescent="0.35"/>
  </sheetData>
  <sheetProtection algorithmName="SHA-512" hashValue="RvvObscZ/Jp91jBiUKu7J0/Wi5FpeVyev29NS7V6DsIfplTxtQTCCh7xeO9WO9UEEjOva5Or0Yf5QNL7nIWFqQ==" saltValue="Vj5TuZKqwscJWG6Hb54Jvg==" spinCount="100000" sheet="1" formatCells="0" formatColumns="0" formatRows="0" insertColumns="0" insertRows="0" insertHyperlinks="0" deleteColumns="0" deleteRows="0" sort="0" autoFilter="0" pivotTables="0"/>
  <protectedRanges>
    <protectedRange sqref="S14:AD14 S16:AD16 AF14:AG25 S24:AD24 S22:AD22 S20:AD20 S18:AD18" name="Rango1"/>
  </protectedRanges>
  <autoFilter ref="A12:AG13" xr:uid="{F05C95A3-3B21-47AD-A023-E63241F0EDEC}"/>
  <mergeCells count="169">
    <mergeCell ref="A1:C3"/>
    <mergeCell ref="D1:AG3"/>
    <mergeCell ref="A4:A5"/>
    <mergeCell ref="F4:F5"/>
    <mergeCell ref="A6:B10"/>
    <mergeCell ref="C6:D10"/>
    <mergeCell ref="E6:E10"/>
    <mergeCell ref="F6:F10"/>
    <mergeCell ref="G6:H10"/>
    <mergeCell ref="I6:I10"/>
    <mergeCell ref="AB6:AG10"/>
    <mergeCell ref="J6:K10"/>
    <mergeCell ref="L6:L10"/>
    <mergeCell ref="M6:N10"/>
    <mergeCell ref="O6:Q10"/>
    <mergeCell ref="R6:U10"/>
    <mergeCell ref="V6:AA10"/>
    <mergeCell ref="A11:E11"/>
    <mergeCell ref="F11:O11"/>
    <mergeCell ref="P11:AE11"/>
    <mergeCell ref="AF11:AG11"/>
    <mergeCell ref="A12:A13"/>
    <mergeCell ref="B12:B13"/>
    <mergeCell ref="C12:C13"/>
    <mergeCell ref="D12:D13"/>
    <mergeCell ref="E12:E13"/>
    <mergeCell ref="X12:X13"/>
    <mergeCell ref="Y12:Y13"/>
    <mergeCell ref="Z12:Z13"/>
    <mergeCell ref="AA12:AA13"/>
    <mergeCell ref="AB12:AB13"/>
    <mergeCell ref="AC12:AC13"/>
    <mergeCell ref="R12:R13"/>
    <mergeCell ref="S12:S13"/>
    <mergeCell ref="T12:T13"/>
    <mergeCell ref="U12:U13"/>
    <mergeCell ref="V12:V13"/>
    <mergeCell ref="W12:W13"/>
    <mergeCell ref="F12:F13"/>
    <mergeCell ref="G12:G13"/>
    <mergeCell ref="H12:H13"/>
    <mergeCell ref="I12:I13"/>
    <mergeCell ref="J12:J13"/>
    <mergeCell ref="K12:K13"/>
    <mergeCell ref="N14:N15"/>
    <mergeCell ref="O14:O15"/>
    <mergeCell ref="P14:P15"/>
    <mergeCell ref="AD12:AD13"/>
    <mergeCell ref="AE12:AE13"/>
    <mergeCell ref="AF12:AF13"/>
    <mergeCell ref="J14:J15"/>
    <mergeCell ref="K14:K15"/>
    <mergeCell ref="L14:L15"/>
    <mergeCell ref="AG12:AG13"/>
    <mergeCell ref="L12:L13"/>
    <mergeCell ref="M12:M13"/>
    <mergeCell ref="N12:N13"/>
    <mergeCell ref="O12:O13"/>
    <mergeCell ref="P12:P13"/>
    <mergeCell ref="Q12:Q13"/>
    <mergeCell ref="A16:A17"/>
    <mergeCell ref="B16:B17"/>
    <mergeCell ref="C16:C17"/>
    <mergeCell ref="D16:D17"/>
    <mergeCell ref="E16:E17"/>
    <mergeCell ref="F16:F17"/>
    <mergeCell ref="G16:G17"/>
    <mergeCell ref="H16:H17"/>
    <mergeCell ref="M14:M15"/>
    <mergeCell ref="C14:C15"/>
    <mergeCell ref="D14:D15"/>
    <mergeCell ref="E14:E15"/>
    <mergeCell ref="F14:F15"/>
    <mergeCell ref="AG14:AG15"/>
    <mergeCell ref="G14:G15"/>
    <mergeCell ref="H14:H15"/>
    <mergeCell ref="I14:I15"/>
    <mergeCell ref="A14:A15"/>
    <mergeCell ref="B14:B15"/>
    <mergeCell ref="AF14:AF15"/>
    <mergeCell ref="O16:O17"/>
    <mergeCell ref="P16:P17"/>
    <mergeCell ref="AF16:AF17"/>
    <mergeCell ref="AG16:AG17"/>
    <mergeCell ref="I16:I17"/>
    <mergeCell ref="J16:J17"/>
    <mergeCell ref="K16:K17"/>
    <mergeCell ref="L16:L17"/>
    <mergeCell ref="M16:M17"/>
    <mergeCell ref="N16:N17"/>
    <mergeCell ref="A20:A21"/>
    <mergeCell ref="B20:B21"/>
    <mergeCell ref="C20:C21"/>
    <mergeCell ref="D20:D21"/>
    <mergeCell ref="E20:E21"/>
    <mergeCell ref="F20:F21"/>
    <mergeCell ref="G20:G21"/>
    <mergeCell ref="H20:H21"/>
    <mergeCell ref="M18:M19"/>
    <mergeCell ref="G18:G19"/>
    <mergeCell ref="H18:H19"/>
    <mergeCell ref="I18:I19"/>
    <mergeCell ref="J18:J19"/>
    <mergeCell ref="K18:K19"/>
    <mergeCell ref="L18:L19"/>
    <mergeCell ref="A18:A19"/>
    <mergeCell ref="B18:B19"/>
    <mergeCell ref="C18:C19"/>
    <mergeCell ref="D18:D19"/>
    <mergeCell ref="E18:E19"/>
    <mergeCell ref="F18:F19"/>
    <mergeCell ref="I20:I21"/>
    <mergeCell ref="J20:J21"/>
    <mergeCell ref="K20:K21"/>
    <mergeCell ref="L20:L21"/>
    <mergeCell ref="M20:M21"/>
    <mergeCell ref="N20:N21"/>
    <mergeCell ref="N18:N19"/>
    <mergeCell ref="O18:O19"/>
    <mergeCell ref="P18:P19"/>
    <mergeCell ref="AF18:AF19"/>
    <mergeCell ref="AG18:AG19"/>
    <mergeCell ref="C22:C23"/>
    <mergeCell ref="D22:D23"/>
    <mergeCell ref="E22:E23"/>
    <mergeCell ref="F22:F23"/>
    <mergeCell ref="O20:O21"/>
    <mergeCell ref="P20:P21"/>
    <mergeCell ref="AF20:AF21"/>
    <mergeCell ref="AG20:AG21"/>
    <mergeCell ref="N22:N23"/>
    <mergeCell ref="O22:O23"/>
    <mergeCell ref="P22:P23"/>
    <mergeCell ref="AF22:AF23"/>
    <mergeCell ref="AG22:AG23"/>
    <mergeCell ref="M22:M23"/>
    <mergeCell ref="G22:G23"/>
    <mergeCell ref="H22:H23"/>
    <mergeCell ref="I22:I23"/>
    <mergeCell ref="J22:J23"/>
    <mergeCell ref="K22:K23"/>
    <mergeCell ref="L22:L23"/>
    <mergeCell ref="A22:A23"/>
    <mergeCell ref="B22:B23"/>
    <mergeCell ref="AG24:AG25"/>
    <mergeCell ref="I24:I25"/>
    <mergeCell ref="J24:J25"/>
    <mergeCell ref="K24:K25"/>
    <mergeCell ref="L24:L25"/>
    <mergeCell ref="M24:M25"/>
    <mergeCell ref="N24:N25"/>
    <mergeCell ref="O24:O25"/>
    <mergeCell ref="P24:P25"/>
    <mergeCell ref="AF24:AF25"/>
    <mergeCell ref="M27:M28"/>
    <mergeCell ref="A24:A25"/>
    <mergeCell ref="B24:B25"/>
    <mergeCell ref="C24:C25"/>
    <mergeCell ref="D24:D25"/>
    <mergeCell ref="E24:E25"/>
    <mergeCell ref="F24:F25"/>
    <mergeCell ref="G24:G25"/>
    <mergeCell ref="H24:H25"/>
    <mergeCell ref="B27:B28"/>
    <mergeCell ref="C27:C28"/>
    <mergeCell ref="D27:D28"/>
    <mergeCell ref="E27:E28"/>
    <mergeCell ref="F27:F28"/>
    <mergeCell ref="G27:G28"/>
  </mergeCells>
  <conditionalFormatting sqref="H4">
    <cfRule type="cellIs" dxfId="102" priority="10" operator="lessThanOrEqual">
      <formula>$C$4</formula>
    </cfRule>
  </conditionalFormatting>
  <conditionalFormatting sqref="I6">
    <cfRule type="cellIs" dxfId="101" priority="11" operator="greaterThanOrEqual">
      <formula>$C$5</formula>
    </cfRule>
    <cfRule type="cellIs" dxfId="100" priority="12" operator="lessThanOrEqual">
      <formula>$C$4</formula>
    </cfRule>
    <cfRule type="cellIs" dxfId="99" priority="13" operator="between">
      <formula>$C$5</formula>
      <formula>$C$4</formula>
    </cfRule>
  </conditionalFormatting>
  <conditionalFormatting sqref="O6">
    <cfRule type="cellIs" dxfId="98" priority="7" operator="greaterThanOrEqual">
      <formula>$H$5</formula>
    </cfRule>
    <cfRule type="cellIs" dxfId="97" priority="8" operator="lessThanOrEqual">
      <formula>$H$4</formula>
    </cfRule>
    <cfRule type="cellIs" dxfId="96" priority="9" operator="between">
      <formula>$H$5</formula>
      <formula>$H$4</formula>
    </cfRule>
  </conditionalFormatting>
  <conditionalFormatting sqref="R14:R25">
    <cfRule type="cellIs" dxfId="95" priority="1" operator="greaterThanOrEqual">
      <formula>$C$5</formula>
    </cfRule>
    <cfRule type="cellIs" dxfId="94" priority="2" operator="lessThanOrEqual">
      <formula>$C$4</formula>
    </cfRule>
    <cfRule type="cellIs" dxfId="93" priority="3" operator="between">
      <formula>$C$5</formula>
      <formula>$C$4</formula>
    </cfRule>
  </conditionalFormatting>
  <conditionalFormatting sqref="V6">
    <cfRule type="cellIs" dxfId="92" priority="4" operator="greaterThanOrEqual">
      <formula>$H$5</formula>
    </cfRule>
    <cfRule type="cellIs" dxfId="91" priority="5" operator="lessThanOrEqual">
      <formula>$H$4</formula>
    </cfRule>
    <cfRule type="cellIs" dxfId="90" priority="6" operator="between">
      <formula>$H$5</formula>
      <formula>$H$4</formula>
    </cfRule>
  </conditionalFormatting>
  <dataValidations count="9">
    <dataValidation type="list" allowBlank="1" showInputMessage="1" showErrorMessage="1" sqref="B14:B25" xr:uid="{707D2A48-B1E6-4ABD-98FB-8E7C7E8B9AC2}">
      <formula1>$A$44:$A$51</formula1>
    </dataValidation>
    <dataValidation type="list" allowBlank="1" showInputMessage="1" showErrorMessage="1" sqref="C14:C25" xr:uid="{AE902ED4-1FA3-44AD-B696-DD7858C703EE}">
      <formula1>$B$44:$B$53</formula1>
    </dataValidation>
    <dataValidation type="list" allowBlank="1" showInputMessage="1" showErrorMessage="1" sqref="D14:D25" xr:uid="{0648E8E4-7D1C-4AF0-8452-9F947CF43C21}">
      <formula1>$C$44:$C$50</formula1>
    </dataValidation>
    <dataValidation type="list" allowBlank="1" showInputMessage="1" showErrorMessage="1" sqref="E14:E25" xr:uid="{95A4A578-F829-4C67-873D-1FECD39937E8}">
      <formula1>$D$44:$D$62</formula1>
    </dataValidation>
    <dataValidation type="list" allowBlank="1" showInputMessage="1" showErrorMessage="1" sqref="M14:M25" xr:uid="{5B46534F-75B2-4F4D-A0A6-9E8000B3D929}">
      <formula1>$K$30:$K$32</formula1>
    </dataValidation>
    <dataValidation type="decimal" allowBlank="1" showInputMessage="1" showErrorMessage="1" prompt="valor porcentual de la activida - Indique el peso porcentual de la actividad dentro del proyecto" sqref="Q14 Q20 Q16 Q18 Q24 Q22" xr:uid="{E6059494-3F6C-43D4-A7D4-0CE4E4CD1417}">
      <formula1>0</formula1>
      <formula2>1</formula2>
    </dataValidation>
    <dataValidation type="decimal" allowBlank="1" showInputMessage="1" showErrorMessage="1" prompt="campo calculado  - indica el % de avance  que aporta la activadad a todo el proyecto" sqref="Q19 Q17 Q21 Q15 Q23 Q25" xr:uid="{F8077E15-6C26-4B53-A5F7-A6A98446B1D8}">
      <formula1>0</formula1>
      <formula2>1</formula2>
    </dataValidation>
    <dataValidation type="decimal" allowBlank="1" showInputMessage="1" showErrorMessage="1" prompt="% de avance en la actividad - indique el % programado de avance durante esta semana_x000a_" sqref="S14:U23 S25:U25 V14:AE25" xr:uid="{D86565D3-EA45-489F-8E5D-827807EA009C}">
      <formula1>0</formula1>
      <formula2>1</formula2>
    </dataValidation>
    <dataValidation allowBlank="1" showErrorMessage="1" sqref="R14:R25" xr:uid="{32B1544E-3737-441D-986A-938D70393742}"/>
  </dataValidations>
  <pageMargins left="0.7" right="0.7" top="0.75" bottom="0.75" header="0.3" footer="0.3"/>
  <pageSetup scale="10" orientation="portrait" r:id="rId1"/>
  <headerFooter>
    <oddFooter>&amp;C_x000D_&amp;1#&amp;"Calibri"&amp;10&amp;K008000 DOCUMENTO PÚBLICO</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24F0-31F6-435B-91DF-0E482DD06D54}">
  <dimension ref="A1:AK178"/>
  <sheetViews>
    <sheetView showGridLines="0" view="pageBreakPreview" topLeftCell="D1" zoomScale="60" zoomScaleNormal="10" zoomScalePageLayoutView="48" workbookViewId="0">
      <selection activeCell="D1" sqref="D1:AK3"/>
    </sheetView>
  </sheetViews>
  <sheetFormatPr baseColWidth="10" defaultColWidth="12.54296875" defaultRowHeight="15" customHeight="1" x14ac:dyDescent="0.35"/>
  <cols>
    <col min="1" max="1" width="7.453125" style="13" customWidth="1"/>
    <col min="2" max="4" width="28.54296875" style="13" customWidth="1"/>
    <col min="5" max="5" width="36.453125" style="13" customWidth="1"/>
    <col min="6" max="6" width="28.54296875" style="13" hidden="1" customWidth="1"/>
    <col min="7" max="10" width="28.54296875" style="13" customWidth="1"/>
    <col min="11" max="12" width="19.54296875" style="13" customWidth="1"/>
    <col min="13" max="13" width="28.54296875" style="13" customWidth="1"/>
    <col min="14" max="17" width="18.453125" style="13" customWidth="1"/>
    <col min="18" max="20" width="13.54296875" style="13" customWidth="1"/>
    <col min="21" max="32" width="9.54296875" style="13" customWidth="1"/>
    <col min="33" max="33" width="10.81640625" style="13" hidden="1" customWidth="1"/>
    <col min="34" max="34" width="35.54296875" style="13" customWidth="1"/>
    <col min="35" max="37" width="42.54296875" style="13" customWidth="1"/>
    <col min="38" max="16384" width="12.54296875" style="13"/>
  </cols>
  <sheetData>
    <row r="1" spans="1:37" s="5" customFormat="1" ht="15" customHeight="1" x14ac:dyDescent="0.35">
      <c r="A1" s="337"/>
      <c r="B1" s="338"/>
      <c r="C1" s="339"/>
      <c r="D1" s="346" t="s">
        <v>1474</v>
      </c>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row>
    <row r="2" spans="1:37" s="5" customFormat="1" ht="20.149999999999999" customHeight="1" x14ac:dyDescent="0.35">
      <c r="A2" s="340"/>
      <c r="B2" s="341"/>
      <c r="C2" s="342"/>
      <c r="D2" s="348"/>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row>
    <row r="3" spans="1:37" s="5" customFormat="1" ht="60" customHeight="1" thickBot="1" x14ac:dyDescent="0.4">
      <c r="A3" s="343"/>
      <c r="B3" s="344"/>
      <c r="C3" s="345"/>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row>
    <row r="4" spans="1:37" s="5" customFormat="1" ht="60" hidden="1" customHeight="1" x14ac:dyDescent="0.35">
      <c r="A4" s="352" t="s">
        <v>9</v>
      </c>
      <c r="B4" s="8" t="s">
        <v>10</v>
      </c>
      <c r="C4" s="9">
        <v>0.7</v>
      </c>
      <c r="D4" s="9"/>
      <c r="E4" s="9"/>
      <c r="F4" s="6"/>
      <c r="G4" s="352" t="s">
        <v>11</v>
      </c>
      <c r="H4" s="8" t="s">
        <v>10</v>
      </c>
      <c r="I4" s="9">
        <v>0.7</v>
      </c>
      <c r="J4" s="10"/>
      <c r="K4" s="11"/>
      <c r="L4" s="11"/>
      <c r="M4" s="11"/>
      <c r="N4" s="11"/>
      <c r="O4" s="11"/>
      <c r="P4" s="11"/>
      <c r="Q4" s="11"/>
      <c r="R4" s="11"/>
      <c r="S4" s="11"/>
      <c r="T4" s="11"/>
      <c r="U4" s="11"/>
      <c r="V4" s="11"/>
      <c r="W4" s="11"/>
      <c r="X4" s="11"/>
      <c r="Y4" s="11"/>
      <c r="Z4" s="11"/>
      <c r="AA4" s="11"/>
      <c r="AB4" s="11"/>
      <c r="AC4" s="11"/>
      <c r="AD4" s="11"/>
      <c r="AE4" s="11"/>
      <c r="AF4" s="11"/>
      <c r="AG4" s="11"/>
      <c r="AH4" s="11"/>
      <c r="AI4" s="11"/>
    </row>
    <row r="5" spans="1:37" s="5" customFormat="1" ht="60" hidden="1" customHeight="1" thickBot="1" x14ac:dyDescent="0.4">
      <c r="A5" s="352"/>
      <c r="B5" s="8" t="s">
        <v>12</v>
      </c>
      <c r="C5" s="12">
        <v>0.9</v>
      </c>
      <c r="D5" s="12"/>
      <c r="E5" s="12"/>
      <c r="F5" s="12">
        <v>1</v>
      </c>
      <c r="G5" s="352"/>
      <c r="H5" s="8" t="s">
        <v>12</v>
      </c>
      <c r="I5" s="12">
        <v>0.95</v>
      </c>
      <c r="J5" s="10"/>
      <c r="K5" s="11"/>
      <c r="L5" s="11"/>
      <c r="M5" s="11"/>
      <c r="N5" s="11"/>
      <c r="O5" s="11"/>
      <c r="P5" s="11"/>
      <c r="Q5" s="11"/>
      <c r="R5" s="11"/>
      <c r="S5" s="11"/>
      <c r="T5" s="11"/>
      <c r="U5" s="11"/>
      <c r="V5" s="11"/>
      <c r="W5" s="11"/>
      <c r="X5" s="11"/>
      <c r="Y5" s="11"/>
      <c r="Z5" s="11"/>
      <c r="AA5" s="11"/>
      <c r="AB5" s="11"/>
      <c r="AC5" s="11"/>
      <c r="AD5" s="11"/>
      <c r="AE5" s="11"/>
      <c r="AF5" s="11"/>
      <c r="AG5" s="11"/>
      <c r="AH5" s="11"/>
      <c r="AI5" s="11"/>
    </row>
    <row r="6" spans="1:37" ht="20.149999999999999" customHeight="1" x14ac:dyDescent="0.35">
      <c r="A6" s="295" t="s">
        <v>13</v>
      </c>
      <c r="B6" s="297"/>
      <c r="C6" s="423" t="s">
        <v>92</v>
      </c>
      <c r="D6" s="423"/>
      <c r="E6" s="295" t="s">
        <v>15</v>
      </c>
      <c r="F6" s="297"/>
      <c r="G6" s="455">
        <f>+S15+S17+S19+S21+S23+S25+S27+S29+S31+S33+S35+S37+S39+S41+S43+S45+S47+S49+S51+S53+S55+S57+S59+S61+S63+S65+S67+S69+S71+S73+S75+S77+S79+S81+S83+S85+S87+S89+S93+S97+S99+S101+S103+S105+S107+S109+S111+S91+S95+S113+S115</f>
        <v>1.0000000000000007</v>
      </c>
      <c r="H6" s="295" t="s">
        <v>209</v>
      </c>
      <c r="I6" s="297"/>
      <c r="J6" s="489">
        <f>+S14+S16+S18+S20+S22+S24+S26+S28+S30+S32+S34+S36+S38+S40+S42+S44+S46+S48+S50+S52+S54+S56+S58+S60+S62+S64+S66+S70+S72+S74+S76+S78+S80+S82+S84+S86+S88+S90+S92+S94+S96+S98+S100+S102+S104+S106+S108+S110+S68</f>
        <v>0.10294117647058819</v>
      </c>
      <c r="K6" s="295" t="s">
        <v>17</v>
      </c>
      <c r="L6" s="297"/>
      <c r="M6" s="443">
        <v>1</v>
      </c>
      <c r="N6" s="295" t="s">
        <v>210</v>
      </c>
      <c r="O6" s="296"/>
      <c r="P6" s="296"/>
      <c r="Q6" s="297"/>
      <c r="R6" s="304">
        <f>(SUM(U14:W14,U16:W16,U18:X18,U20:W20,U22:W22,U24:W24,U26:W26,U28:W28,U30:W30,U32:W32,U34:W34,U36:W36,U40:W40,U42:W42,U44:W44,U46:W46,U48:W48,U50:W50,U52:W52,U54:W54,U56:W56,U58:W58,U62:W62,U64:W64,U66:W66,U68:W68,U70:W70,U72:W72,U74:W74,U76:W76,U78:W78,U80:W80,U82:W82,U84:W84,U86:W86,U88:W88,U90:W90,U92:W92,U94:W94,U96:W96,U98:W98,U102:W102,U104:W104,U106:W106,U108:W108,U110:W110,U38:W38,U60:W60,U100:W100,U112:W112,U114:W114)/SUM(U15:W15,U17:W17,U19:W19,U21:W21,U23:W23,U25:W25,U27:W27,U29:W29,U31:W31,U33:W33,U35:W35,U37:W37,U41:W41,U43:W43,U45:W45,U47:W47,U49:W49,U51:W51,U53:W53,U55:W55,U57:W57,U59:W59,U61:W61,U63:W63,U65:W65,U67:W67,U69:W69,U71:W71,U73:W73,U75:W75,U77:W77,U79:W79,U81:W81,U83:W83,U85:W85,U87:W87,U89:W89,U91:W91,U93:W93,U95:W95,U97:W97,U99:W99,U101:W101,U103:W103,U105:W105,U107:W107,U109:W109,U111:W111,U39:W39,U113:W113,U115:W115))/M6</f>
        <v>1</v>
      </c>
      <c r="S6" s="325"/>
      <c r="T6" s="305"/>
      <c r="U6" s="295" t="s">
        <v>211</v>
      </c>
      <c r="V6" s="296"/>
      <c r="W6" s="296"/>
      <c r="X6" s="297"/>
      <c r="Y6" s="304">
        <f>(SUM(X14:Z14,X16:Z16,X18:Z18,X20:Z20,X22:Z22,X24:Z24,X26:Z26,X28:Z28,X30:Z30,X32:Z32,X34:Z34,X36:Z36,X40:Z40,X42:Z42,X44:Z44,X46:Z46,X48:Z48,X50:Z50,X52:Z52,X54:Z54,X56:Z56,X58:Z58,X62:Z62,X64:Z64,X66:Z66,X68:Z68,X70:Z70,X72:Z72,X74:Z74,X76:Z76,X78:Z78,X80:Z80,X82:Z82,X84:Z84,X86:Z86,X88:Z88,X90:Z90,X92:Z92,X94:Z94,X96:Z96,X98:Z98,X100:Z100,X102:Z102,X104:Z104,X106:Z106,X108:Z108,X110:Z110,X38:Z38,X60:Z60,X112:Z112,X114:Z114)/SUM(X15:Z15,X17:Z17,X19:Z19,X21:Z21,X23:Z23,X25:Z25,X27:Z27,X29:Z29,X31:Z31,X33:Z33,X35:Z35,X37:Z37,X41:Z41,X43:Z43,X45:Z45,X47:Z47,X49:Z49,X51:Z51,X53:Z53,X55:Z55,X57:Z57,X59:Z59,X61:Z61,X63:Z63,X65:Z65,X67:Z67,X69:Z69,X71:Z71,X73:Z73,X75:Z75,X77:Z77,X79:Z79,X81:Z81,X83:Z83,X85:Z85,X87:Z87,X89:Z89,X91:Z91,X93:Z93,X95:Z95,X97:Z97,X99:Z99,X101:Z101,X103:Z103,X105:Z105,X107:Z107,X109:Z109,X111:Z111,X39:Z39,X113:Z113,X115:Z115))/M6</f>
        <v>0</v>
      </c>
      <c r="Z6" s="325"/>
      <c r="AA6" s="325"/>
      <c r="AB6" s="305"/>
      <c r="AC6" s="295" t="s">
        <v>212</v>
      </c>
      <c r="AD6" s="296"/>
      <c r="AE6" s="296"/>
      <c r="AF6" s="297"/>
      <c r="AG6" s="304">
        <f>(SUM(AA14:AC14,AA16:AC16,AA18:AC18,AA20:AC20,AA22:AC22,AA24:AC24,AA26:AC26,AA28:AC28,AA30:AC30,AA32:AC32,AA34:AC34,AA36:AC36,AA40:AC40,AA42:AC42,AA44:AC44,AA46:AC46,AA48:AC48,AA50:AC50,AA52:AC52,AA54:AC54,AA56:AC56,AA58:AC58,AA62:AC62,AA64:AC64,AA66:AC66,AA68:AC68,AA70:AC70,AA72:AC72,AA74:AC74,AA76:AC76,AA78:AC78,AA80:AC80,AA82:AC82,AA84:AC84,AA86:AC86,AA88:AC88,AA90:AC90,AA92:AC92,AA94:AC94,AA96:AC96,AA98:AC98,AA100:AC100,AA102:AC102,AA104:AC104,AA106:AC106,AA108:AC108,AA110:AC110,AA38:AC38,AA60:AC60,AA112:AC112,AA114:AC114)/SUM(AA15:AC15,AA17:AC17,AA19:AC19,AA21:AC21,AA23:AC23,AA25:AC25,AA27:AC27,AA29:AC29,AA31:AC31,AA33:AC33,AA35:AC35,AA37:AC37,AA41:AC41,AA43:AC43,AA45:AC45,AA47:AC47,AA49:AC49,AA51:AC51,AA53:AC53,AA55:AC55,AA57:AC57,AA59:AC59,AA61:AC61,AA63:AC63,AA65:AC65,AA67:AC67,AA69:AC69,AA71:AC71,AA73:AC73,AA75:AC75,AA77:AC77,AA79:AC79,AA81:AC81,AA83:AC83,AA85:AC85,AA87:AC87,AA89:AC89,AA91:AC91,AA93:AC93,AA95:AC95,AA97:AC97,AA99:AC99,AA101:AC101,AA103:AC103,AA105:AC105,AA107:AC107,AA109:AC109,AA111:AC111,AA39:AC39,AA113:AC113,AA115:AC115))/M6</f>
        <v>0</v>
      </c>
      <c r="AH6" s="305"/>
      <c r="AI6" s="295" t="s">
        <v>213</v>
      </c>
      <c r="AJ6" s="304">
        <f>(SUM(AD14:AF14,AD16:AF16,AD18:AF18,AD20:AF20,AD22:AF22,AD24:AF24,AD26:AF26,AD28:AF28,AD30:AF30,AD32:AF32,AD34:AF34,AD36:AF36,AD40:AF40,AD42:AF42,AD44:AF44,AD46:AF46,AD48:AF48,AD50:AF50,AD52:AF52,AD54:AF54,AD56:AF56,AD58:AF58,AD62:AF62,AD64:AF64,AD66:AF66,AD68:AF68,AD70:AF70,AD72:AF72,AD74:AF74,AD76:AF76,AD78:AF78,AD80:AF80,AD82:AF82,AD84:AF84,AD86:AF86,AD88:AF88,AD90:AF90,AD92:AF92,AD94:AF94,AD96:AF96,AD98:AF98,AD100:AF100,AD102:AF102,AD104:AF104,AG8,AD108:AF108,AD110:AF110,AD38:AF38,AD60:AF60,AD106:AF106,AD112:AF112,AD114:AF114)/SUM(AD15:AF15,AD17:AF17,AD19:AF19,AD21:AF21,AD23:AF23,AD25:AF25,AD27:AF27,AD29:AF29,AD31:AF31,AD33:AF33,AD35:AF35,AD37:AF37,AD41:AF41,AD43:AF43,AD45:AF45,AD47:AF47,AD49:AF49,AD51:AF51,AD53:AF53,AD55:AF55,AD57:AF57,AD59:AF59,AD61:AF61,AD63:AF63,AD65:AF65,AD67:AF67,AD69:AF69,AD71:AF71,AD73:AF73,AD75:AF75,AD77:AF77,AD79:AF79,AD81:AF81,AD83:AF83,AD85:AF85,AD87:AF87,AD89:AF89,AD91:AF91,AD93:AF93,AD95:AF95,AD97:AF97,AD99:AF99,AD101:AF101,AD103:AF103,AD105:AF105,AD107:AF107,AD109:AF109,AD111:AF111,AD39:AF39,AD113:AF113,AD115:AF115))/M6</f>
        <v>0</v>
      </c>
      <c r="AK6" s="295"/>
    </row>
    <row r="7" spans="1:37" ht="15" customHeight="1" x14ac:dyDescent="0.35">
      <c r="A7" s="298"/>
      <c r="B7" s="300"/>
      <c r="C7" s="423"/>
      <c r="D7" s="423"/>
      <c r="E7" s="298"/>
      <c r="F7" s="300"/>
      <c r="G7" s="456"/>
      <c r="H7" s="298"/>
      <c r="I7" s="300"/>
      <c r="J7" s="490"/>
      <c r="K7" s="298"/>
      <c r="L7" s="300"/>
      <c r="M7" s="444"/>
      <c r="N7" s="298"/>
      <c r="O7" s="299"/>
      <c r="P7" s="299"/>
      <c r="Q7" s="300"/>
      <c r="R7" s="306"/>
      <c r="S7" s="326"/>
      <c r="T7" s="307"/>
      <c r="U7" s="298"/>
      <c r="V7" s="299"/>
      <c r="W7" s="299"/>
      <c r="X7" s="300"/>
      <c r="Y7" s="306"/>
      <c r="Z7" s="326"/>
      <c r="AA7" s="326"/>
      <c r="AB7" s="307"/>
      <c r="AC7" s="298"/>
      <c r="AD7" s="299"/>
      <c r="AE7" s="299"/>
      <c r="AF7" s="300"/>
      <c r="AG7" s="306"/>
      <c r="AH7" s="307"/>
      <c r="AI7" s="298"/>
      <c r="AJ7" s="306"/>
      <c r="AK7" s="298"/>
    </row>
    <row r="8" spans="1:37" ht="25.4" customHeight="1" x14ac:dyDescent="0.35">
      <c r="A8" s="298"/>
      <c r="B8" s="300"/>
      <c r="C8" s="423"/>
      <c r="D8" s="423"/>
      <c r="E8" s="298"/>
      <c r="F8" s="300"/>
      <c r="G8" s="456"/>
      <c r="H8" s="298"/>
      <c r="I8" s="300"/>
      <c r="J8" s="490"/>
      <c r="K8" s="298"/>
      <c r="L8" s="300"/>
      <c r="M8" s="444"/>
      <c r="N8" s="298"/>
      <c r="O8" s="299"/>
      <c r="P8" s="299"/>
      <c r="Q8" s="300"/>
      <c r="R8" s="306"/>
      <c r="S8" s="326"/>
      <c r="T8" s="307"/>
      <c r="U8" s="298"/>
      <c r="V8" s="299"/>
      <c r="W8" s="299"/>
      <c r="X8" s="300"/>
      <c r="Y8" s="306"/>
      <c r="Z8" s="326"/>
      <c r="AA8" s="326"/>
      <c r="AB8" s="307"/>
      <c r="AC8" s="298"/>
      <c r="AD8" s="299"/>
      <c r="AE8" s="299"/>
      <c r="AF8" s="300"/>
      <c r="AG8" s="306"/>
      <c r="AH8" s="307"/>
      <c r="AI8" s="298"/>
      <c r="AJ8" s="306"/>
      <c r="AK8" s="298"/>
    </row>
    <row r="9" spans="1:37" ht="25.4" customHeight="1" x14ac:dyDescent="0.35">
      <c r="A9" s="298"/>
      <c r="B9" s="300"/>
      <c r="C9" s="423"/>
      <c r="D9" s="423"/>
      <c r="E9" s="298"/>
      <c r="F9" s="300"/>
      <c r="G9" s="456"/>
      <c r="H9" s="298"/>
      <c r="I9" s="300"/>
      <c r="J9" s="490"/>
      <c r="K9" s="298"/>
      <c r="L9" s="300"/>
      <c r="M9" s="444"/>
      <c r="N9" s="298"/>
      <c r="O9" s="299"/>
      <c r="P9" s="299"/>
      <c r="Q9" s="300"/>
      <c r="R9" s="306"/>
      <c r="S9" s="326"/>
      <c r="T9" s="307"/>
      <c r="U9" s="298"/>
      <c r="V9" s="299"/>
      <c r="W9" s="299"/>
      <c r="X9" s="300"/>
      <c r="Y9" s="306"/>
      <c r="Z9" s="326"/>
      <c r="AA9" s="326"/>
      <c r="AB9" s="307"/>
      <c r="AC9" s="298"/>
      <c r="AD9" s="299"/>
      <c r="AE9" s="299"/>
      <c r="AF9" s="300"/>
      <c r="AG9" s="306"/>
      <c r="AH9" s="307"/>
      <c r="AI9" s="298"/>
      <c r="AJ9" s="306"/>
      <c r="AK9" s="298"/>
    </row>
    <row r="10" spans="1:37" ht="15" customHeight="1" thickBot="1" x14ac:dyDescent="0.4">
      <c r="A10" s="467"/>
      <c r="B10" s="468"/>
      <c r="C10" s="423"/>
      <c r="D10" s="423"/>
      <c r="E10" s="467"/>
      <c r="F10" s="468"/>
      <c r="G10" s="457"/>
      <c r="H10" s="467"/>
      <c r="I10" s="468"/>
      <c r="J10" s="491"/>
      <c r="K10" s="467"/>
      <c r="L10" s="468"/>
      <c r="M10" s="445"/>
      <c r="N10" s="467"/>
      <c r="O10" s="498"/>
      <c r="P10" s="498"/>
      <c r="Q10" s="468"/>
      <c r="R10" s="308"/>
      <c r="S10" s="327"/>
      <c r="T10" s="309"/>
      <c r="U10" s="467"/>
      <c r="V10" s="498"/>
      <c r="W10" s="498"/>
      <c r="X10" s="468"/>
      <c r="Y10" s="308"/>
      <c r="Z10" s="327"/>
      <c r="AA10" s="327"/>
      <c r="AB10" s="309"/>
      <c r="AC10" s="467"/>
      <c r="AD10" s="498"/>
      <c r="AE10" s="498"/>
      <c r="AF10" s="468"/>
      <c r="AG10" s="308"/>
      <c r="AH10" s="309"/>
      <c r="AI10" s="467"/>
      <c r="AJ10" s="308"/>
      <c r="AK10" s="467"/>
    </row>
    <row r="11" spans="1:37" s="14" customFormat="1" ht="40.4" customHeight="1" thickBot="1" x14ac:dyDescent="0.4">
      <c r="A11" s="313" t="s">
        <v>21</v>
      </c>
      <c r="B11" s="313"/>
      <c r="C11" s="313"/>
      <c r="D11" s="313"/>
      <c r="E11" s="313"/>
      <c r="F11" s="314"/>
      <c r="G11" s="545" t="s">
        <v>280</v>
      </c>
      <c r="H11" s="546"/>
      <c r="I11" s="546"/>
      <c r="J11" s="546"/>
      <c r="K11" s="546"/>
      <c r="L11" s="546"/>
      <c r="M11" s="546"/>
      <c r="N11" s="546"/>
      <c r="O11" s="546"/>
      <c r="P11" s="546"/>
      <c r="Q11" s="547"/>
      <c r="R11" s="548" t="s">
        <v>23</v>
      </c>
      <c r="S11" s="549"/>
      <c r="T11" s="549"/>
      <c r="U11" s="549"/>
      <c r="V11" s="549"/>
      <c r="W11" s="549"/>
      <c r="X11" s="549"/>
      <c r="Y11" s="549"/>
      <c r="Z11" s="549"/>
      <c r="AA11" s="549"/>
      <c r="AB11" s="549"/>
      <c r="AC11" s="549"/>
      <c r="AD11" s="549"/>
      <c r="AE11" s="549"/>
      <c r="AF11" s="549"/>
      <c r="AG11" s="550"/>
      <c r="AH11" s="320" t="s">
        <v>24</v>
      </c>
      <c r="AI11" s="321"/>
      <c r="AJ11" s="321"/>
      <c r="AK11" s="321"/>
    </row>
    <row r="12" spans="1:37" ht="39" customHeight="1" x14ac:dyDescent="0.35">
      <c r="A12" s="286" t="s">
        <v>25</v>
      </c>
      <c r="B12" s="294" t="s">
        <v>26</v>
      </c>
      <c r="C12" s="294" t="s">
        <v>27</v>
      </c>
      <c r="D12" s="294" t="s">
        <v>28</v>
      </c>
      <c r="E12" s="294" t="s">
        <v>29</v>
      </c>
      <c r="F12" s="294" t="s">
        <v>30</v>
      </c>
      <c r="G12" s="294" t="s">
        <v>1475</v>
      </c>
      <c r="H12" s="286" t="s">
        <v>17</v>
      </c>
      <c r="I12" s="286" t="s">
        <v>1476</v>
      </c>
      <c r="J12" s="286" t="s">
        <v>1477</v>
      </c>
      <c r="K12" s="286" t="s">
        <v>1478</v>
      </c>
      <c r="L12" s="286" t="s">
        <v>1479</v>
      </c>
      <c r="M12" s="286" t="s">
        <v>33</v>
      </c>
      <c r="N12" s="294" t="s">
        <v>34</v>
      </c>
      <c r="O12" s="310" t="s">
        <v>1480</v>
      </c>
      <c r="P12" s="311" t="s">
        <v>37</v>
      </c>
      <c r="Q12" s="312" t="s">
        <v>38</v>
      </c>
      <c r="R12" s="291" t="s">
        <v>39</v>
      </c>
      <c r="S12" s="291" t="s">
        <v>40</v>
      </c>
      <c r="T12" s="291" t="s">
        <v>41</v>
      </c>
      <c r="U12" s="291" t="s">
        <v>42</v>
      </c>
      <c r="V12" s="291" t="s">
        <v>43</v>
      </c>
      <c r="W12" s="291" t="s">
        <v>44</v>
      </c>
      <c r="X12" s="291" t="s">
        <v>45</v>
      </c>
      <c r="Y12" s="291" t="s">
        <v>46</v>
      </c>
      <c r="Z12" s="291" t="s">
        <v>47</v>
      </c>
      <c r="AA12" s="291" t="s">
        <v>48</v>
      </c>
      <c r="AB12" s="291" t="s">
        <v>49</v>
      </c>
      <c r="AC12" s="291" t="s">
        <v>50</v>
      </c>
      <c r="AD12" s="291" t="s">
        <v>51</v>
      </c>
      <c r="AE12" s="291" t="s">
        <v>52</v>
      </c>
      <c r="AF12" s="291" t="s">
        <v>53</v>
      </c>
      <c r="AG12" s="291" t="s">
        <v>42</v>
      </c>
      <c r="AH12" s="435" t="s">
        <v>216</v>
      </c>
      <c r="AI12" s="394" t="s">
        <v>217</v>
      </c>
      <c r="AJ12" s="394" t="s">
        <v>218</v>
      </c>
      <c r="AK12" s="396" t="s">
        <v>219</v>
      </c>
    </row>
    <row r="13" spans="1:37" ht="60" customHeight="1" thickBot="1" x14ac:dyDescent="0.4">
      <c r="A13" s="287"/>
      <c r="B13" s="287"/>
      <c r="C13" s="287"/>
      <c r="D13" s="287"/>
      <c r="E13" s="287"/>
      <c r="F13" s="287"/>
      <c r="G13" s="287"/>
      <c r="H13" s="287"/>
      <c r="I13" s="287"/>
      <c r="J13" s="287"/>
      <c r="K13" s="287"/>
      <c r="L13" s="287"/>
      <c r="M13" s="287"/>
      <c r="N13" s="287"/>
      <c r="O13" s="310"/>
      <c r="P13" s="311"/>
      <c r="Q13" s="312"/>
      <c r="R13" s="291"/>
      <c r="S13" s="291"/>
      <c r="T13" s="291"/>
      <c r="U13" s="291"/>
      <c r="V13" s="291"/>
      <c r="W13" s="291"/>
      <c r="X13" s="291"/>
      <c r="Y13" s="291"/>
      <c r="Z13" s="291"/>
      <c r="AA13" s="291"/>
      <c r="AB13" s="291"/>
      <c r="AC13" s="291"/>
      <c r="AD13" s="291"/>
      <c r="AE13" s="291"/>
      <c r="AF13" s="291"/>
      <c r="AG13" s="291"/>
      <c r="AH13" s="436"/>
      <c r="AI13" s="395"/>
      <c r="AJ13" s="395"/>
      <c r="AK13" s="397"/>
    </row>
    <row r="14" spans="1:37" ht="40.4" customHeight="1" thickBot="1" x14ac:dyDescent="0.4">
      <c r="A14" s="262">
        <v>1</v>
      </c>
      <c r="B14" s="262" t="s">
        <v>70</v>
      </c>
      <c r="C14" s="262" t="s">
        <v>89</v>
      </c>
      <c r="D14" s="262" t="s">
        <v>90</v>
      </c>
      <c r="E14" s="262" t="s">
        <v>91</v>
      </c>
      <c r="F14" s="280" t="s">
        <v>1389</v>
      </c>
      <c r="G14" s="262" t="s">
        <v>1481</v>
      </c>
      <c r="H14" s="535" t="s">
        <v>1482</v>
      </c>
      <c r="I14" s="533" t="s">
        <v>1483</v>
      </c>
      <c r="J14" s="529" t="s">
        <v>1484</v>
      </c>
      <c r="K14" s="529" t="s">
        <v>1485</v>
      </c>
      <c r="L14" s="529" t="s">
        <v>1486</v>
      </c>
      <c r="M14" s="529" t="s">
        <v>1487</v>
      </c>
      <c r="N14" s="529" t="s">
        <v>1488</v>
      </c>
      <c r="O14" s="529" t="s">
        <v>1487</v>
      </c>
      <c r="P14" s="531">
        <v>45383</v>
      </c>
      <c r="Q14" s="531">
        <v>45473</v>
      </c>
      <c r="R14" s="15" t="s">
        <v>68</v>
      </c>
      <c r="S14" s="16">
        <f>+(S15*T14)</f>
        <v>0</v>
      </c>
      <c r="T14" s="17">
        <f t="shared" ref="T14:T15" si="0">SUM(U14:AG14)</f>
        <v>0</v>
      </c>
      <c r="U14" s="18"/>
      <c r="V14" s="18"/>
      <c r="W14" s="18"/>
      <c r="X14" s="18"/>
      <c r="Y14" s="18"/>
      <c r="Z14" s="18"/>
      <c r="AA14" s="18"/>
      <c r="AB14" s="18"/>
      <c r="AC14" s="19"/>
      <c r="AD14" s="19"/>
      <c r="AE14" s="19"/>
      <c r="AF14" s="19"/>
      <c r="AG14" s="19"/>
      <c r="AH14" s="376" t="s">
        <v>225</v>
      </c>
      <c r="AI14" s="376" t="s">
        <v>225</v>
      </c>
      <c r="AJ14" s="376" t="s">
        <v>225</v>
      </c>
      <c r="AK14" s="523"/>
    </row>
    <row r="15" spans="1:37" ht="64.5" customHeight="1" thickBot="1" x14ac:dyDescent="0.4">
      <c r="A15" s="263"/>
      <c r="B15" s="263"/>
      <c r="C15" s="263"/>
      <c r="D15" s="263"/>
      <c r="E15" s="263"/>
      <c r="F15" s="290"/>
      <c r="G15" s="271"/>
      <c r="H15" s="536"/>
      <c r="I15" s="534"/>
      <c r="J15" s="530"/>
      <c r="K15" s="530"/>
      <c r="L15" s="530"/>
      <c r="M15" s="530"/>
      <c r="N15" s="530"/>
      <c r="O15" s="530"/>
      <c r="P15" s="532"/>
      <c r="Q15" s="532"/>
      <c r="R15" s="15" t="s">
        <v>69</v>
      </c>
      <c r="S15" s="21">
        <f>100%/51</f>
        <v>1.9607843137254902E-2</v>
      </c>
      <c r="T15" s="17">
        <f t="shared" si="0"/>
        <v>1</v>
      </c>
      <c r="U15" s="22"/>
      <c r="V15" s="22"/>
      <c r="W15" s="22"/>
      <c r="X15" s="22"/>
      <c r="Y15" s="22"/>
      <c r="Z15" s="22"/>
      <c r="AA15" s="22"/>
      <c r="AB15" s="22"/>
      <c r="AC15" s="22"/>
      <c r="AD15" s="22"/>
      <c r="AE15" s="22"/>
      <c r="AF15" s="22">
        <v>1</v>
      </c>
      <c r="AG15" s="22"/>
      <c r="AH15" s="377"/>
      <c r="AI15" s="377"/>
      <c r="AJ15" s="377"/>
      <c r="AK15" s="524"/>
    </row>
    <row r="16" spans="1:37" ht="37.4" customHeight="1" thickBot="1" x14ac:dyDescent="0.4">
      <c r="A16" s="262">
        <v>2</v>
      </c>
      <c r="B16" s="262" t="s">
        <v>70</v>
      </c>
      <c r="C16" s="262" t="s">
        <v>89</v>
      </c>
      <c r="D16" s="262" t="s">
        <v>90</v>
      </c>
      <c r="E16" s="262" t="s">
        <v>91</v>
      </c>
      <c r="F16" s="280" t="s">
        <v>1389</v>
      </c>
      <c r="G16" s="271"/>
      <c r="H16" s="536"/>
      <c r="I16" s="533" t="s">
        <v>1483</v>
      </c>
      <c r="J16" s="529" t="s">
        <v>1489</v>
      </c>
      <c r="K16" s="529" t="s">
        <v>1490</v>
      </c>
      <c r="L16" s="529" t="s">
        <v>1486</v>
      </c>
      <c r="M16" s="529" t="s">
        <v>133</v>
      </c>
      <c r="N16" s="529" t="s">
        <v>1488</v>
      </c>
      <c r="O16" s="529" t="s">
        <v>133</v>
      </c>
      <c r="P16" s="531">
        <v>45383</v>
      </c>
      <c r="Q16" s="531">
        <v>45473</v>
      </c>
      <c r="R16" s="15" t="s">
        <v>68</v>
      </c>
      <c r="S16" s="16">
        <f>+(S17*T16)</f>
        <v>0</v>
      </c>
      <c r="T16" s="17">
        <f t="shared" ref="T16:T79" si="1">SUM(U16:AG16)</f>
        <v>0</v>
      </c>
      <c r="U16" s="18"/>
      <c r="V16" s="18"/>
      <c r="W16" s="18"/>
      <c r="X16" s="18"/>
      <c r="Y16" s="18"/>
      <c r="Z16" s="18"/>
      <c r="AA16" s="18"/>
      <c r="AB16" s="19"/>
      <c r="AC16" s="19"/>
      <c r="AD16" s="19"/>
      <c r="AE16" s="19"/>
      <c r="AF16" s="195"/>
      <c r="AG16" s="195"/>
      <c r="AH16" s="376" t="s">
        <v>225</v>
      </c>
      <c r="AI16" s="526"/>
      <c r="AJ16" s="376" t="s">
        <v>225</v>
      </c>
      <c r="AK16" s="518"/>
    </row>
    <row r="17" spans="1:37" ht="37.4" customHeight="1" thickBot="1" x14ac:dyDescent="0.4">
      <c r="A17" s="263"/>
      <c r="B17" s="263"/>
      <c r="C17" s="263"/>
      <c r="D17" s="263"/>
      <c r="E17" s="263"/>
      <c r="F17" s="281"/>
      <c r="G17" s="271"/>
      <c r="H17" s="536"/>
      <c r="I17" s="534"/>
      <c r="J17" s="530"/>
      <c r="K17" s="530"/>
      <c r="L17" s="530"/>
      <c r="M17" s="530"/>
      <c r="N17" s="530"/>
      <c r="O17" s="530"/>
      <c r="P17" s="532"/>
      <c r="Q17" s="532"/>
      <c r="R17" s="15" t="s">
        <v>69</v>
      </c>
      <c r="S17" s="21">
        <f>100%/51</f>
        <v>1.9607843137254902E-2</v>
      </c>
      <c r="T17" s="17">
        <f t="shared" si="1"/>
        <v>1</v>
      </c>
      <c r="U17" s="22"/>
      <c r="V17" s="22"/>
      <c r="W17" s="22"/>
      <c r="X17" s="22"/>
      <c r="Y17" s="22"/>
      <c r="Z17" s="22">
        <v>0.5</v>
      </c>
      <c r="AA17" s="22"/>
      <c r="AB17" s="22"/>
      <c r="AC17" s="22"/>
      <c r="AD17" s="22"/>
      <c r="AE17" s="22"/>
      <c r="AF17" s="22">
        <v>0.5</v>
      </c>
      <c r="AG17" s="22"/>
      <c r="AH17" s="377"/>
      <c r="AI17" s="527"/>
      <c r="AJ17" s="377"/>
      <c r="AK17" s="519"/>
    </row>
    <row r="18" spans="1:37" ht="37.4" customHeight="1" thickBot="1" x14ac:dyDescent="0.4">
      <c r="A18" s="262">
        <v>3</v>
      </c>
      <c r="B18" s="262" t="s">
        <v>70</v>
      </c>
      <c r="C18" s="262" t="s">
        <v>89</v>
      </c>
      <c r="D18" s="262" t="s">
        <v>90</v>
      </c>
      <c r="E18" s="262" t="s">
        <v>91</v>
      </c>
      <c r="F18" s="280" t="s">
        <v>1389</v>
      </c>
      <c r="G18" s="271"/>
      <c r="H18" s="536"/>
      <c r="I18" s="533" t="s">
        <v>1483</v>
      </c>
      <c r="J18" s="529" t="s">
        <v>1491</v>
      </c>
      <c r="K18" s="529" t="s">
        <v>1492</v>
      </c>
      <c r="L18" s="529" t="s">
        <v>1486</v>
      </c>
      <c r="M18" s="529" t="s">
        <v>133</v>
      </c>
      <c r="N18" s="529" t="s">
        <v>1488</v>
      </c>
      <c r="O18" s="529" t="s">
        <v>133</v>
      </c>
      <c r="P18" s="531">
        <v>45474</v>
      </c>
      <c r="Q18" s="531">
        <v>45657</v>
      </c>
      <c r="R18" s="15" t="s">
        <v>68</v>
      </c>
      <c r="S18" s="16">
        <f>+(S19*T18)</f>
        <v>0</v>
      </c>
      <c r="T18" s="17">
        <f t="shared" si="1"/>
        <v>0</v>
      </c>
      <c r="U18" s="18"/>
      <c r="V18" s="18"/>
      <c r="X18" s="18"/>
      <c r="Y18" s="18"/>
      <c r="Z18" s="18"/>
      <c r="AA18" s="18"/>
      <c r="AB18" s="19"/>
      <c r="AC18" s="19"/>
      <c r="AD18" s="19"/>
      <c r="AE18" s="19"/>
      <c r="AF18" s="18"/>
      <c r="AG18" s="18"/>
      <c r="AH18" s="376" t="s">
        <v>225</v>
      </c>
      <c r="AI18" s="526"/>
      <c r="AJ18" s="376" t="s">
        <v>225</v>
      </c>
      <c r="AK18" s="526"/>
    </row>
    <row r="19" spans="1:37" ht="37.4" customHeight="1" thickBot="1" x14ac:dyDescent="0.4">
      <c r="A19" s="263"/>
      <c r="B19" s="263"/>
      <c r="C19" s="263"/>
      <c r="D19" s="263"/>
      <c r="E19" s="263"/>
      <c r="F19" s="281"/>
      <c r="G19" s="271"/>
      <c r="H19" s="536"/>
      <c r="I19" s="534"/>
      <c r="J19" s="530"/>
      <c r="K19" s="530"/>
      <c r="L19" s="530"/>
      <c r="M19" s="530"/>
      <c r="N19" s="530"/>
      <c r="O19" s="530"/>
      <c r="P19" s="532"/>
      <c r="Q19" s="532"/>
      <c r="R19" s="15" t="s">
        <v>69</v>
      </c>
      <c r="S19" s="21">
        <f>100%/51</f>
        <v>1.9607843137254902E-2</v>
      </c>
      <c r="T19" s="17">
        <f t="shared" si="1"/>
        <v>1</v>
      </c>
      <c r="U19" s="22"/>
      <c r="V19" s="22"/>
      <c r="W19" s="22"/>
      <c r="X19" s="22"/>
      <c r="Y19" s="22"/>
      <c r="Z19" s="22">
        <v>0.5</v>
      </c>
      <c r="AA19" s="22"/>
      <c r="AB19" s="22"/>
      <c r="AC19" s="22"/>
      <c r="AD19" s="22"/>
      <c r="AE19" s="22"/>
      <c r="AF19" s="22">
        <v>0.5</v>
      </c>
      <c r="AG19" s="22"/>
      <c r="AH19" s="377"/>
      <c r="AI19" s="527"/>
      <c r="AJ19" s="377"/>
      <c r="AK19" s="527"/>
    </row>
    <row r="20" spans="1:37" ht="37.4" customHeight="1" thickBot="1" x14ac:dyDescent="0.4">
      <c r="A20" s="262">
        <v>4</v>
      </c>
      <c r="B20" s="262" t="s">
        <v>70</v>
      </c>
      <c r="C20" s="262" t="s">
        <v>89</v>
      </c>
      <c r="D20" s="262" t="s">
        <v>90</v>
      </c>
      <c r="E20" s="262" t="s">
        <v>91</v>
      </c>
      <c r="F20" s="280" t="s">
        <v>1389</v>
      </c>
      <c r="G20" s="271"/>
      <c r="H20" s="536"/>
      <c r="I20" s="533" t="s">
        <v>1483</v>
      </c>
      <c r="J20" s="529" t="s">
        <v>1493</v>
      </c>
      <c r="K20" s="529" t="s">
        <v>1494</v>
      </c>
      <c r="L20" s="529" t="s">
        <v>1486</v>
      </c>
      <c r="M20" s="529" t="s">
        <v>125</v>
      </c>
      <c r="N20" s="529" t="s">
        <v>1488</v>
      </c>
      <c r="O20" s="529" t="s">
        <v>125</v>
      </c>
      <c r="P20" s="531">
        <v>45323</v>
      </c>
      <c r="Q20" s="531">
        <v>45657</v>
      </c>
      <c r="R20" s="15" t="s">
        <v>68</v>
      </c>
      <c r="S20" s="16">
        <f>+(S21*T20)</f>
        <v>4.9019607843137254E-3</v>
      </c>
      <c r="T20" s="17">
        <f t="shared" si="1"/>
        <v>0.25</v>
      </c>
      <c r="U20" s="22">
        <v>8.3333333333333343E-2</v>
      </c>
      <c r="V20" s="22">
        <v>8.3333333333333343E-2</v>
      </c>
      <c r="W20" s="22">
        <v>8.3333333333333343E-2</v>
      </c>
      <c r="X20" s="18"/>
      <c r="Y20" s="18"/>
      <c r="Z20" s="18"/>
      <c r="AA20" s="18"/>
      <c r="AB20" s="18"/>
      <c r="AC20" s="19"/>
      <c r="AD20" s="19"/>
      <c r="AE20" s="19"/>
      <c r="AF20" s="19"/>
      <c r="AG20" s="19"/>
      <c r="AH20" s="523" t="s">
        <v>1495</v>
      </c>
      <c r="AI20" s="526"/>
      <c r="AJ20" s="518"/>
      <c r="AK20" s="518"/>
    </row>
    <row r="21" spans="1:37" ht="37.4" customHeight="1" thickBot="1" x14ac:dyDescent="0.4">
      <c r="A21" s="263"/>
      <c r="B21" s="263"/>
      <c r="C21" s="263"/>
      <c r="D21" s="263"/>
      <c r="E21" s="263"/>
      <c r="F21" s="281"/>
      <c r="G21" s="271"/>
      <c r="H21" s="536"/>
      <c r="I21" s="534"/>
      <c r="J21" s="530"/>
      <c r="K21" s="530"/>
      <c r="L21" s="530"/>
      <c r="M21" s="530"/>
      <c r="N21" s="530"/>
      <c r="O21" s="530"/>
      <c r="P21" s="532"/>
      <c r="Q21" s="532"/>
      <c r="R21" s="15" t="s">
        <v>69</v>
      </c>
      <c r="S21" s="21">
        <f>100%/51</f>
        <v>1.9607843137254902E-2</v>
      </c>
      <c r="T21" s="17">
        <f t="shared" si="1"/>
        <v>1.0000000000000002</v>
      </c>
      <c r="U21" s="22">
        <v>8.3333333333333343E-2</v>
      </c>
      <c r="V21" s="22">
        <v>8.3333333333333343E-2</v>
      </c>
      <c r="W21" s="22">
        <v>8.3333333333333343E-2</v>
      </c>
      <c r="X21" s="22">
        <v>8.3333333333333343E-2</v>
      </c>
      <c r="Y21" s="22">
        <v>8.3333333333333343E-2</v>
      </c>
      <c r="Z21" s="22">
        <v>8.3333333333333343E-2</v>
      </c>
      <c r="AA21" s="22">
        <v>8.3333333333333343E-2</v>
      </c>
      <c r="AB21" s="22">
        <v>8.3333333333333343E-2</v>
      </c>
      <c r="AC21" s="22">
        <v>8.3333333333333343E-2</v>
      </c>
      <c r="AD21" s="22">
        <v>8.3333333333333343E-2</v>
      </c>
      <c r="AE21" s="22">
        <v>8.3333333333333343E-2</v>
      </c>
      <c r="AF21" s="22">
        <v>8.3333333333333343E-2</v>
      </c>
      <c r="AG21" s="22"/>
      <c r="AH21" s="524"/>
      <c r="AI21" s="527"/>
      <c r="AJ21" s="519"/>
      <c r="AK21" s="519"/>
    </row>
    <row r="22" spans="1:37" ht="37.4" customHeight="1" thickBot="1" x14ac:dyDescent="0.4">
      <c r="A22" s="262">
        <v>5</v>
      </c>
      <c r="B22" s="262" t="s">
        <v>70</v>
      </c>
      <c r="C22" s="262" t="s">
        <v>89</v>
      </c>
      <c r="D22" s="262" t="s">
        <v>90</v>
      </c>
      <c r="E22" s="262" t="s">
        <v>91</v>
      </c>
      <c r="F22" s="280" t="s">
        <v>1389</v>
      </c>
      <c r="G22" s="271"/>
      <c r="H22" s="536"/>
      <c r="I22" s="533" t="s">
        <v>1483</v>
      </c>
      <c r="J22" s="529" t="s">
        <v>1493</v>
      </c>
      <c r="K22" s="529" t="s">
        <v>1496</v>
      </c>
      <c r="L22" s="529" t="s">
        <v>1486</v>
      </c>
      <c r="M22" s="529" t="s">
        <v>1497</v>
      </c>
      <c r="N22" s="529" t="s">
        <v>1488</v>
      </c>
      <c r="O22" s="529" t="s">
        <v>1497</v>
      </c>
      <c r="P22" s="531">
        <v>45323</v>
      </c>
      <c r="Q22" s="531">
        <v>45657</v>
      </c>
      <c r="R22" s="15" t="s">
        <v>68</v>
      </c>
      <c r="S22" s="16">
        <f>+(S23*T22)</f>
        <v>4.9019607843137254E-3</v>
      </c>
      <c r="T22" s="17">
        <f t="shared" si="1"/>
        <v>0.25</v>
      </c>
      <c r="U22" s="25"/>
      <c r="V22" s="25"/>
      <c r="W22" s="18">
        <v>0.25</v>
      </c>
      <c r="X22" s="18"/>
      <c r="Y22" s="18"/>
      <c r="Z22" s="18"/>
      <c r="AA22" s="18"/>
      <c r="AB22" s="18"/>
      <c r="AC22" s="19"/>
      <c r="AD22" s="19"/>
      <c r="AE22" s="19"/>
      <c r="AF22" s="19"/>
      <c r="AG22" s="19"/>
      <c r="AH22" s="523" t="s">
        <v>1498</v>
      </c>
      <c r="AI22" s="526"/>
      <c r="AJ22" s="518"/>
      <c r="AK22" s="518"/>
    </row>
    <row r="23" spans="1:37" ht="37.4" customHeight="1" thickBot="1" x14ac:dyDescent="0.4">
      <c r="A23" s="263"/>
      <c r="B23" s="263"/>
      <c r="C23" s="263"/>
      <c r="D23" s="263"/>
      <c r="E23" s="263"/>
      <c r="F23" s="281"/>
      <c r="G23" s="271"/>
      <c r="H23" s="536"/>
      <c r="I23" s="534"/>
      <c r="J23" s="530"/>
      <c r="K23" s="530"/>
      <c r="L23" s="530"/>
      <c r="M23" s="530"/>
      <c r="N23" s="530"/>
      <c r="O23" s="530"/>
      <c r="P23" s="532"/>
      <c r="Q23" s="532"/>
      <c r="R23" s="15" t="s">
        <v>69</v>
      </c>
      <c r="S23" s="21">
        <f>100%/51</f>
        <v>1.9607843137254902E-2</v>
      </c>
      <c r="T23" s="17">
        <f t="shared" si="1"/>
        <v>1</v>
      </c>
      <c r="U23" s="22"/>
      <c r="V23" s="22"/>
      <c r="W23" s="22">
        <v>0.25</v>
      </c>
      <c r="X23" s="22"/>
      <c r="Y23" s="22"/>
      <c r="Z23" s="22">
        <v>0.25</v>
      </c>
      <c r="AA23" s="22"/>
      <c r="AB23" s="22"/>
      <c r="AC23" s="22">
        <v>0.25</v>
      </c>
      <c r="AD23" s="22"/>
      <c r="AE23" s="22"/>
      <c r="AF23" s="22">
        <v>0.25</v>
      </c>
      <c r="AG23" s="22"/>
      <c r="AH23" s="524"/>
      <c r="AI23" s="527"/>
      <c r="AJ23" s="519"/>
      <c r="AK23" s="519"/>
    </row>
    <row r="24" spans="1:37" ht="37.4" customHeight="1" thickBot="1" x14ac:dyDescent="0.4">
      <c r="A24" s="262">
        <v>6</v>
      </c>
      <c r="B24" s="543" t="s">
        <v>70</v>
      </c>
      <c r="C24" s="262" t="s">
        <v>89</v>
      </c>
      <c r="D24" s="262" t="s">
        <v>90</v>
      </c>
      <c r="E24" s="262" t="s">
        <v>91</v>
      </c>
      <c r="F24" s="280" t="s">
        <v>1389</v>
      </c>
      <c r="G24" s="271"/>
      <c r="H24" s="536"/>
      <c r="I24" s="533" t="s">
        <v>1483</v>
      </c>
      <c r="J24" s="529" t="s">
        <v>1499</v>
      </c>
      <c r="K24" s="529" t="s">
        <v>1500</v>
      </c>
      <c r="L24" s="529" t="s">
        <v>1486</v>
      </c>
      <c r="M24" s="529" t="s">
        <v>67</v>
      </c>
      <c r="N24" s="529" t="s">
        <v>1488</v>
      </c>
      <c r="O24" s="529" t="s">
        <v>67</v>
      </c>
      <c r="P24" s="531">
        <v>45383</v>
      </c>
      <c r="Q24" s="531">
        <v>45657</v>
      </c>
      <c r="R24" s="15" t="s">
        <v>68</v>
      </c>
      <c r="S24" s="16">
        <f>+(S25*T24)</f>
        <v>4.9019607843137254E-3</v>
      </c>
      <c r="T24" s="17">
        <f t="shared" si="1"/>
        <v>0.25</v>
      </c>
      <c r="U24" s="26"/>
      <c r="V24" s="26"/>
      <c r="W24" s="18">
        <v>0.25</v>
      </c>
      <c r="X24" s="18"/>
      <c r="Y24" s="18"/>
      <c r="Z24" s="18"/>
      <c r="AA24" s="18"/>
      <c r="AB24" s="19"/>
      <c r="AC24" s="19"/>
      <c r="AD24" s="19"/>
      <c r="AE24" s="19"/>
      <c r="AF24" s="19"/>
      <c r="AG24" s="19"/>
      <c r="AH24" s="523" t="s">
        <v>1501</v>
      </c>
      <c r="AI24" s="526"/>
      <c r="AJ24" s="518"/>
      <c r="AK24" s="518"/>
    </row>
    <row r="25" spans="1:37" ht="40.4" customHeight="1" thickBot="1" x14ac:dyDescent="0.4">
      <c r="A25" s="263"/>
      <c r="B25" s="544"/>
      <c r="C25" s="263"/>
      <c r="D25" s="263"/>
      <c r="E25" s="263"/>
      <c r="F25" s="281"/>
      <c r="G25" s="271"/>
      <c r="H25" s="536"/>
      <c r="I25" s="534"/>
      <c r="J25" s="530"/>
      <c r="K25" s="530"/>
      <c r="L25" s="530"/>
      <c r="M25" s="530"/>
      <c r="N25" s="530"/>
      <c r="O25" s="530"/>
      <c r="P25" s="532"/>
      <c r="Q25" s="532"/>
      <c r="R25" s="15" t="s">
        <v>69</v>
      </c>
      <c r="S25" s="21">
        <f>100%/51</f>
        <v>1.9607843137254902E-2</v>
      </c>
      <c r="T25" s="17">
        <f t="shared" si="1"/>
        <v>1</v>
      </c>
      <c r="U25" s="22"/>
      <c r="V25" s="22"/>
      <c r="W25" s="22">
        <v>0.25</v>
      </c>
      <c r="X25" s="22"/>
      <c r="Y25" s="22"/>
      <c r="Z25" s="22">
        <v>0.25</v>
      </c>
      <c r="AA25" s="22"/>
      <c r="AB25" s="22"/>
      <c r="AC25" s="22">
        <v>0.25</v>
      </c>
      <c r="AD25" s="22"/>
      <c r="AE25" s="22"/>
      <c r="AF25" s="22">
        <v>0.25</v>
      </c>
      <c r="AG25" s="22"/>
      <c r="AH25" s="524"/>
      <c r="AI25" s="527"/>
      <c r="AJ25" s="519"/>
      <c r="AK25" s="519"/>
    </row>
    <row r="26" spans="1:37" ht="37.4" customHeight="1" thickBot="1" x14ac:dyDescent="0.4">
      <c r="A26" s="262">
        <v>7</v>
      </c>
      <c r="B26" s="262" t="s">
        <v>70</v>
      </c>
      <c r="C26" s="262" t="s">
        <v>89</v>
      </c>
      <c r="D26" s="262" t="s">
        <v>90</v>
      </c>
      <c r="E26" s="262" t="s">
        <v>91</v>
      </c>
      <c r="F26" s="272" t="s">
        <v>1389</v>
      </c>
      <c r="G26" s="271"/>
      <c r="H26" s="536"/>
      <c r="I26" s="533" t="s">
        <v>1483</v>
      </c>
      <c r="J26" s="529" t="s">
        <v>1502</v>
      </c>
      <c r="K26" s="529" t="s">
        <v>1503</v>
      </c>
      <c r="L26" s="529" t="s">
        <v>1486</v>
      </c>
      <c r="M26" s="529" t="s">
        <v>67</v>
      </c>
      <c r="N26" s="529" t="s">
        <v>1488</v>
      </c>
      <c r="O26" s="529" t="s">
        <v>67</v>
      </c>
      <c r="P26" s="531">
        <v>45383</v>
      </c>
      <c r="Q26" s="531">
        <v>45657</v>
      </c>
      <c r="R26" s="15" t="s">
        <v>68</v>
      </c>
      <c r="S26" s="16">
        <f>+(S27*T26)</f>
        <v>4.9019607843137254E-3</v>
      </c>
      <c r="T26" s="17">
        <f t="shared" si="1"/>
        <v>0.25</v>
      </c>
      <c r="U26" s="25"/>
      <c r="V26" s="25"/>
      <c r="W26" s="25">
        <v>0.25</v>
      </c>
      <c r="X26" s="25"/>
      <c r="Y26" s="25"/>
      <c r="Z26" s="25"/>
      <c r="AA26" s="25"/>
      <c r="AB26" s="25"/>
      <c r="AC26" s="25"/>
      <c r="AD26" s="25"/>
      <c r="AE26" s="25"/>
      <c r="AF26" s="19"/>
      <c r="AG26" s="19"/>
      <c r="AH26" s="523" t="s">
        <v>1504</v>
      </c>
      <c r="AI26" s="526"/>
      <c r="AJ26" s="518"/>
      <c r="AK26" s="518"/>
    </row>
    <row r="27" spans="1:37" ht="37.4" customHeight="1" thickBot="1" x14ac:dyDescent="0.4">
      <c r="A27" s="263"/>
      <c r="B27" s="263"/>
      <c r="C27" s="263"/>
      <c r="D27" s="263"/>
      <c r="E27" s="263"/>
      <c r="F27" s="272"/>
      <c r="G27" s="271"/>
      <c r="H27" s="536"/>
      <c r="I27" s="534"/>
      <c r="J27" s="530"/>
      <c r="K27" s="530"/>
      <c r="L27" s="530"/>
      <c r="M27" s="530"/>
      <c r="N27" s="530"/>
      <c r="O27" s="530"/>
      <c r="P27" s="532"/>
      <c r="Q27" s="532"/>
      <c r="R27" s="15" t="s">
        <v>69</v>
      </c>
      <c r="S27" s="21">
        <f>100%/51</f>
        <v>1.9607843137254902E-2</v>
      </c>
      <c r="T27" s="17">
        <f t="shared" si="1"/>
        <v>1</v>
      </c>
      <c r="U27" s="22"/>
      <c r="V27" s="22"/>
      <c r="W27" s="22">
        <v>0.25</v>
      </c>
      <c r="X27" s="22"/>
      <c r="Y27" s="22"/>
      <c r="Z27" s="22">
        <v>0.25</v>
      </c>
      <c r="AA27" s="22"/>
      <c r="AB27" s="22"/>
      <c r="AC27" s="22">
        <v>0.25</v>
      </c>
      <c r="AD27" s="22"/>
      <c r="AE27" s="22"/>
      <c r="AF27" s="22">
        <v>0.25</v>
      </c>
      <c r="AG27" s="22"/>
      <c r="AH27" s="524"/>
      <c r="AI27" s="527"/>
      <c r="AJ27" s="519"/>
      <c r="AK27" s="519"/>
    </row>
    <row r="28" spans="1:37" ht="37.4" customHeight="1" thickBot="1" x14ac:dyDescent="0.4">
      <c r="A28" s="262">
        <v>8</v>
      </c>
      <c r="B28" s="538" t="s">
        <v>70</v>
      </c>
      <c r="C28" s="262" t="s">
        <v>89</v>
      </c>
      <c r="D28" s="262" t="s">
        <v>90</v>
      </c>
      <c r="E28" s="262" t="s">
        <v>91</v>
      </c>
      <c r="F28" s="272" t="s">
        <v>1389</v>
      </c>
      <c r="G28" s="271"/>
      <c r="H28" s="536"/>
      <c r="I28" s="533" t="s">
        <v>1483</v>
      </c>
      <c r="J28" s="529" t="s">
        <v>1502</v>
      </c>
      <c r="K28" s="529" t="s">
        <v>1505</v>
      </c>
      <c r="L28" s="529" t="s">
        <v>1486</v>
      </c>
      <c r="M28" s="529" t="s">
        <v>67</v>
      </c>
      <c r="N28" s="529" t="s">
        <v>1488</v>
      </c>
      <c r="O28" s="529" t="s">
        <v>67</v>
      </c>
      <c r="P28" s="531">
        <v>45383</v>
      </c>
      <c r="Q28" s="531">
        <v>45657</v>
      </c>
      <c r="R28" s="15" t="s">
        <v>68</v>
      </c>
      <c r="S28" s="16">
        <f>+(S29*T28)</f>
        <v>4.9019607843137254E-3</v>
      </c>
      <c r="T28" s="17">
        <f t="shared" si="1"/>
        <v>0.25</v>
      </c>
      <c r="U28" s="25"/>
      <c r="V28" s="25"/>
      <c r="W28" s="25">
        <v>0.25</v>
      </c>
      <c r="X28" s="25"/>
      <c r="Y28" s="25"/>
      <c r="Z28" s="25"/>
      <c r="AA28" s="25"/>
      <c r="AB28" s="25"/>
      <c r="AC28" s="25"/>
      <c r="AD28" s="25"/>
      <c r="AE28" s="25"/>
      <c r="AF28" s="19"/>
      <c r="AG28" s="19"/>
      <c r="AH28" s="523" t="s">
        <v>1506</v>
      </c>
      <c r="AI28" s="526"/>
      <c r="AJ28" s="518"/>
      <c r="AK28" s="518"/>
    </row>
    <row r="29" spans="1:37" ht="37.4" customHeight="1" thickBot="1" x14ac:dyDescent="0.4">
      <c r="A29" s="263"/>
      <c r="B29" s="542"/>
      <c r="C29" s="263"/>
      <c r="D29" s="263"/>
      <c r="E29" s="263"/>
      <c r="F29" s="272"/>
      <c r="G29" s="263"/>
      <c r="H29" s="537"/>
      <c r="I29" s="534"/>
      <c r="J29" s="530"/>
      <c r="K29" s="530"/>
      <c r="L29" s="530"/>
      <c r="M29" s="530"/>
      <c r="N29" s="530"/>
      <c r="O29" s="530"/>
      <c r="P29" s="532"/>
      <c r="Q29" s="532"/>
      <c r="R29" s="15" t="s">
        <v>69</v>
      </c>
      <c r="S29" s="21">
        <f>100%/51</f>
        <v>1.9607843137254902E-2</v>
      </c>
      <c r="T29" s="17">
        <f t="shared" si="1"/>
        <v>1</v>
      </c>
      <c r="U29" s="22"/>
      <c r="V29" s="22"/>
      <c r="W29" s="22">
        <v>0.25</v>
      </c>
      <c r="X29" s="22"/>
      <c r="Y29" s="22"/>
      <c r="Z29" s="22">
        <v>0.25</v>
      </c>
      <c r="AA29" s="22"/>
      <c r="AB29" s="22"/>
      <c r="AC29" s="22">
        <v>0.25</v>
      </c>
      <c r="AD29" s="22"/>
      <c r="AE29" s="22"/>
      <c r="AF29" s="22">
        <v>0.25</v>
      </c>
      <c r="AG29" s="22"/>
      <c r="AH29" s="524"/>
      <c r="AI29" s="527"/>
      <c r="AJ29" s="519"/>
      <c r="AK29" s="519"/>
    </row>
    <row r="30" spans="1:37" ht="37.4" customHeight="1" thickBot="1" x14ac:dyDescent="0.4">
      <c r="A30" s="262">
        <v>9</v>
      </c>
      <c r="B30" s="262" t="s">
        <v>70</v>
      </c>
      <c r="C30" s="262" t="s">
        <v>89</v>
      </c>
      <c r="D30" s="262" t="s">
        <v>90</v>
      </c>
      <c r="E30" s="262" t="s">
        <v>91</v>
      </c>
      <c r="F30" s="272" t="s">
        <v>1389</v>
      </c>
      <c r="G30" s="262" t="s">
        <v>1481</v>
      </c>
      <c r="H30" s="535" t="s">
        <v>1507</v>
      </c>
      <c r="I30" s="533" t="s">
        <v>1508</v>
      </c>
      <c r="J30" s="529" t="s">
        <v>1509</v>
      </c>
      <c r="K30" s="529" t="s">
        <v>1510</v>
      </c>
      <c r="L30" s="529" t="s">
        <v>1486</v>
      </c>
      <c r="M30" s="529" t="s">
        <v>1487</v>
      </c>
      <c r="N30" s="529" t="s">
        <v>1488</v>
      </c>
      <c r="O30" s="529" t="s">
        <v>1487</v>
      </c>
      <c r="P30" s="531">
        <v>45536</v>
      </c>
      <c r="Q30" s="531">
        <v>45657</v>
      </c>
      <c r="R30" s="15" t="s">
        <v>68</v>
      </c>
      <c r="S30" s="16">
        <f>+(S31*T30)</f>
        <v>0</v>
      </c>
      <c r="T30" s="17">
        <f t="shared" si="1"/>
        <v>0</v>
      </c>
      <c r="U30" s="25"/>
      <c r="V30" s="25"/>
      <c r="W30" s="25"/>
      <c r="X30" s="25"/>
      <c r="Y30" s="25"/>
      <c r="Z30" s="25"/>
      <c r="AA30" s="25"/>
      <c r="AB30" s="25"/>
      <c r="AC30" s="25"/>
      <c r="AD30" s="25"/>
      <c r="AE30" s="25"/>
      <c r="AF30" s="19"/>
      <c r="AG30" s="19"/>
      <c r="AH30" s="376" t="s">
        <v>225</v>
      </c>
      <c r="AI30" s="376" t="s">
        <v>225</v>
      </c>
      <c r="AJ30" s="376" t="s">
        <v>225</v>
      </c>
      <c r="AK30" s="523"/>
    </row>
    <row r="31" spans="1:37" ht="37.4" customHeight="1" thickBot="1" x14ac:dyDescent="0.4">
      <c r="A31" s="263"/>
      <c r="B31" s="263"/>
      <c r="C31" s="263"/>
      <c r="D31" s="263"/>
      <c r="E31" s="263"/>
      <c r="F31" s="272"/>
      <c r="G31" s="271"/>
      <c r="H31" s="536"/>
      <c r="I31" s="534"/>
      <c r="J31" s="530"/>
      <c r="K31" s="530"/>
      <c r="L31" s="530"/>
      <c r="M31" s="530"/>
      <c r="N31" s="530"/>
      <c r="O31" s="530"/>
      <c r="P31" s="532"/>
      <c r="Q31" s="532"/>
      <c r="R31" s="15" t="s">
        <v>69</v>
      </c>
      <c r="S31" s="21">
        <f>100%/51</f>
        <v>1.9607843137254902E-2</v>
      </c>
      <c r="T31" s="17">
        <f t="shared" si="1"/>
        <v>1</v>
      </c>
      <c r="U31" s="22"/>
      <c r="V31" s="22"/>
      <c r="W31" s="22"/>
      <c r="X31" s="22"/>
      <c r="Y31" s="22"/>
      <c r="Z31" s="22"/>
      <c r="AA31" s="22"/>
      <c r="AB31" s="22"/>
      <c r="AC31" s="22"/>
      <c r="AD31" s="22"/>
      <c r="AE31" s="22"/>
      <c r="AF31" s="22">
        <v>1</v>
      </c>
      <c r="AG31" s="22"/>
      <c r="AH31" s="377"/>
      <c r="AI31" s="377"/>
      <c r="AJ31" s="377"/>
      <c r="AK31" s="524"/>
    </row>
    <row r="32" spans="1:37" ht="37.4" customHeight="1" thickBot="1" x14ac:dyDescent="0.4">
      <c r="A32" s="262">
        <v>10</v>
      </c>
      <c r="B32" s="262" t="s">
        <v>70</v>
      </c>
      <c r="C32" s="262" t="s">
        <v>89</v>
      </c>
      <c r="D32" s="262" t="s">
        <v>90</v>
      </c>
      <c r="E32" s="262" t="s">
        <v>91</v>
      </c>
      <c r="F32" s="272" t="s">
        <v>1389</v>
      </c>
      <c r="G32" s="271"/>
      <c r="H32" s="536"/>
      <c r="I32" s="533" t="s">
        <v>1508</v>
      </c>
      <c r="J32" s="529" t="s">
        <v>1511</v>
      </c>
      <c r="K32" s="529" t="s">
        <v>1512</v>
      </c>
      <c r="L32" s="529" t="s">
        <v>1486</v>
      </c>
      <c r="M32" s="529" t="s">
        <v>1487</v>
      </c>
      <c r="N32" s="529" t="s">
        <v>1488</v>
      </c>
      <c r="O32" s="529" t="s">
        <v>1487</v>
      </c>
      <c r="P32" s="531">
        <v>45627</v>
      </c>
      <c r="Q32" s="531">
        <v>45657</v>
      </c>
      <c r="R32" s="15" t="s">
        <v>68</v>
      </c>
      <c r="S32" s="16">
        <f>+(S33*T32)</f>
        <v>0</v>
      </c>
      <c r="T32" s="17">
        <f t="shared" si="1"/>
        <v>0</v>
      </c>
      <c r="U32" s="25"/>
      <c r="V32" s="25"/>
      <c r="W32" s="25"/>
      <c r="X32" s="25"/>
      <c r="Y32" s="25"/>
      <c r="Z32" s="25"/>
      <c r="AA32" s="25"/>
      <c r="AB32" s="25"/>
      <c r="AC32" s="25"/>
      <c r="AD32" s="25"/>
      <c r="AE32" s="25"/>
      <c r="AF32" s="25"/>
      <c r="AG32" s="25"/>
      <c r="AH32" s="376" t="s">
        <v>225</v>
      </c>
      <c r="AI32" s="376" t="s">
        <v>225</v>
      </c>
      <c r="AJ32" s="376" t="s">
        <v>225</v>
      </c>
      <c r="AK32" s="518"/>
    </row>
    <row r="33" spans="1:37" ht="37.4" customHeight="1" thickBot="1" x14ac:dyDescent="0.4">
      <c r="A33" s="263"/>
      <c r="B33" s="263"/>
      <c r="C33" s="263"/>
      <c r="D33" s="263"/>
      <c r="E33" s="263"/>
      <c r="F33" s="272"/>
      <c r="G33" s="271"/>
      <c r="H33" s="536"/>
      <c r="I33" s="534"/>
      <c r="J33" s="530"/>
      <c r="K33" s="530"/>
      <c r="L33" s="530"/>
      <c r="M33" s="530"/>
      <c r="N33" s="530"/>
      <c r="O33" s="530"/>
      <c r="P33" s="532"/>
      <c r="Q33" s="532"/>
      <c r="R33" s="15" t="s">
        <v>69</v>
      </c>
      <c r="S33" s="21">
        <f>100%/51</f>
        <v>1.9607843137254902E-2</v>
      </c>
      <c r="T33" s="17">
        <f t="shared" si="1"/>
        <v>1</v>
      </c>
      <c r="U33" s="22"/>
      <c r="V33" s="22"/>
      <c r="W33" s="22"/>
      <c r="X33" s="22"/>
      <c r="Y33" s="22"/>
      <c r="Z33" s="22"/>
      <c r="AA33" s="22"/>
      <c r="AB33" s="22"/>
      <c r="AC33" s="22"/>
      <c r="AD33" s="22"/>
      <c r="AE33" s="22"/>
      <c r="AF33" s="22">
        <v>1</v>
      </c>
      <c r="AG33" s="22"/>
      <c r="AH33" s="377"/>
      <c r="AI33" s="377"/>
      <c r="AJ33" s="377"/>
      <c r="AK33" s="519"/>
    </row>
    <row r="34" spans="1:37" ht="37.4" customHeight="1" thickBot="1" x14ac:dyDescent="0.4">
      <c r="A34" s="262">
        <v>11</v>
      </c>
      <c r="B34" s="262" t="s">
        <v>70</v>
      </c>
      <c r="C34" s="262" t="s">
        <v>89</v>
      </c>
      <c r="D34" s="262" t="s">
        <v>90</v>
      </c>
      <c r="E34" s="262" t="s">
        <v>91</v>
      </c>
      <c r="F34" s="272" t="s">
        <v>1389</v>
      </c>
      <c r="G34" s="271"/>
      <c r="H34" s="536"/>
      <c r="I34" s="533" t="s">
        <v>1508</v>
      </c>
      <c r="J34" s="529" t="s">
        <v>1513</v>
      </c>
      <c r="K34" s="529" t="s">
        <v>1514</v>
      </c>
      <c r="L34" s="529" t="s">
        <v>1486</v>
      </c>
      <c r="M34" s="529" t="s">
        <v>1487</v>
      </c>
      <c r="N34" s="529" t="s">
        <v>1488</v>
      </c>
      <c r="O34" s="529" t="s">
        <v>1487</v>
      </c>
      <c r="P34" s="531">
        <v>45323</v>
      </c>
      <c r="Q34" s="531">
        <v>45352</v>
      </c>
      <c r="R34" s="15" t="s">
        <v>68</v>
      </c>
      <c r="S34" s="16">
        <f>+(S35*T34)</f>
        <v>0</v>
      </c>
      <c r="T34" s="17">
        <f t="shared" si="1"/>
        <v>0</v>
      </c>
      <c r="U34" s="25"/>
      <c r="V34" s="25"/>
      <c r="W34" s="25"/>
      <c r="X34" s="25"/>
      <c r="Y34" s="25"/>
      <c r="Z34" s="25"/>
      <c r="AA34" s="25"/>
      <c r="AB34" s="25"/>
      <c r="AC34" s="25"/>
      <c r="AD34" s="25"/>
      <c r="AE34" s="25"/>
      <c r="AF34" s="25"/>
      <c r="AG34" s="25"/>
      <c r="AH34" s="376" t="s">
        <v>225</v>
      </c>
      <c r="AI34" s="376" t="s">
        <v>225</v>
      </c>
      <c r="AJ34" s="376" t="s">
        <v>225</v>
      </c>
      <c r="AK34" s="518"/>
    </row>
    <row r="35" spans="1:37" ht="37.4" customHeight="1" thickBot="1" x14ac:dyDescent="0.4">
      <c r="A35" s="263"/>
      <c r="B35" s="263"/>
      <c r="C35" s="263"/>
      <c r="D35" s="263"/>
      <c r="E35" s="263"/>
      <c r="F35" s="272"/>
      <c r="G35" s="271"/>
      <c r="H35" s="536"/>
      <c r="I35" s="534"/>
      <c r="J35" s="530"/>
      <c r="K35" s="530"/>
      <c r="L35" s="530"/>
      <c r="M35" s="530"/>
      <c r="N35" s="530"/>
      <c r="O35" s="530"/>
      <c r="P35" s="532"/>
      <c r="Q35" s="532"/>
      <c r="R35" s="15" t="s">
        <v>69</v>
      </c>
      <c r="S35" s="21">
        <f>100%/51</f>
        <v>1.9607843137254902E-2</v>
      </c>
      <c r="T35" s="17">
        <f t="shared" si="1"/>
        <v>1</v>
      </c>
      <c r="U35" s="22"/>
      <c r="V35" s="22"/>
      <c r="W35" s="22"/>
      <c r="X35" s="22"/>
      <c r="Y35" s="22"/>
      <c r="Z35" s="22"/>
      <c r="AA35" s="22"/>
      <c r="AB35" s="22"/>
      <c r="AC35" s="22"/>
      <c r="AD35" s="22"/>
      <c r="AE35" s="22"/>
      <c r="AF35" s="22">
        <v>1</v>
      </c>
      <c r="AG35" s="22"/>
      <c r="AH35" s="377"/>
      <c r="AI35" s="377"/>
      <c r="AJ35" s="377"/>
      <c r="AK35" s="519"/>
    </row>
    <row r="36" spans="1:37" ht="37.4" customHeight="1" thickBot="1" x14ac:dyDescent="0.4">
      <c r="A36" s="262">
        <v>12</v>
      </c>
      <c r="B36" s="262" t="s">
        <v>70</v>
      </c>
      <c r="C36" s="262" t="s">
        <v>89</v>
      </c>
      <c r="D36" s="262" t="s">
        <v>90</v>
      </c>
      <c r="E36" s="262" t="s">
        <v>91</v>
      </c>
      <c r="F36" s="272" t="s">
        <v>1389</v>
      </c>
      <c r="G36" s="271"/>
      <c r="H36" s="536"/>
      <c r="I36" s="533" t="s">
        <v>1508</v>
      </c>
      <c r="J36" s="529" t="s">
        <v>1515</v>
      </c>
      <c r="K36" s="529" t="s">
        <v>1516</v>
      </c>
      <c r="L36" s="529" t="s">
        <v>1486</v>
      </c>
      <c r="M36" s="529" t="s">
        <v>1487</v>
      </c>
      <c r="N36" s="529" t="s">
        <v>1488</v>
      </c>
      <c r="O36" s="529" t="s">
        <v>1487</v>
      </c>
      <c r="P36" s="531">
        <v>45474</v>
      </c>
      <c r="Q36" s="531">
        <v>45565</v>
      </c>
      <c r="R36" s="15" t="s">
        <v>68</v>
      </c>
      <c r="S36" s="16">
        <f>+(S37*T36)</f>
        <v>0</v>
      </c>
      <c r="T36" s="17">
        <f t="shared" si="1"/>
        <v>0</v>
      </c>
      <c r="U36" s="22"/>
      <c r="V36" s="22"/>
      <c r="W36" s="22"/>
      <c r="X36" s="22"/>
      <c r="Y36" s="22"/>
      <c r="Z36" s="22"/>
      <c r="AA36" s="25"/>
      <c r="AB36" s="25"/>
      <c r="AC36" s="25"/>
      <c r="AD36" s="25"/>
      <c r="AE36" s="25"/>
      <c r="AF36" s="25"/>
      <c r="AG36" s="25"/>
      <c r="AH36" s="376" t="s">
        <v>225</v>
      </c>
      <c r="AI36" s="376" t="s">
        <v>225</v>
      </c>
      <c r="AJ36" s="376" t="s">
        <v>225</v>
      </c>
      <c r="AK36" s="523"/>
    </row>
    <row r="37" spans="1:37" ht="37.4" customHeight="1" thickBot="1" x14ac:dyDescent="0.4">
      <c r="A37" s="263"/>
      <c r="B37" s="263"/>
      <c r="C37" s="263"/>
      <c r="D37" s="263"/>
      <c r="E37" s="263"/>
      <c r="F37" s="272"/>
      <c r="G37" s="271"/>
      <c r="H37" s="536"/>
      <c r="I37" s="534"/>
      <c r="J37" s="530"/>
      <c r="K37" s="530"/>
      <c r="L37" s="530"/>
      <c r="M37" s="530"/>
      <c r="N37" s="530"/>
      <c r="O37" s="530"/>
      <c r="P37" s="532"/>
      <c r="Q37" s="532"/>
      <c r="R37" s="15" t="s">
        <v>69</v>
      </c>
      <c r="S37" s="21">
        <f>100%/51</f>
        <v>1.9607843137254902E-2</v>
      </c>
      <c r="T37" s="17">
        <f t="shared" si="1"/>
        <v>1</v>
      </c>
      <c r="U37" s="22"/>
      <c r="V37" s="22"/>
      <c r="W37" s="22"/>
      <c r="X37" s="22"/>
      <c r="Y37" s="22"/>
      <c r="Z37" s="22"/>
      <c r="AA37" s="22"/>
      <c r="AB37" s="22"/>
      <c r="AC37" s="22"/>
      <c r="AD37" s="22"/>
      <c r="AE37" s="22"/>
      <c r="AF37" s="22">
        <v>1</v>
      </c>
      <c r="AG37" s="22"/>
      <c r="AH37" s="377"/>
      <c r="AI37" s="377"/>
      <c r="AJ37" s="377"/>
      <c r="AK37" s="524"/>
    </row>
    <row r="38" spans="1:37" ht="37.4" customHeight="1" thickBot="1" x14ac:dyDescent="0.4">
      <c r="A38" s="262">
        <v>13</v>
      </c>
      <c r="B38" s="262" t="s">
        <v>70</v>
      </c>
      <c r="C38" s="262" t="s">
        <v>89</v>
      </c>
      <c r="D38" s="262" t="s">
        <v>90</v>
      </c>
      <c r="E38" s="262" t="s">
        <v>91</v>
      </c>
      <c r="F38" s="272" t="s">
        <v>1389</v>
      </c>
      <c r="G38" s="271"/>
      <c r="H38" s="536"/>
      <c r="I38" s="533" t="s">
        <v>1508</v>
      </c>
      <c r="J38" s="529" t="s">
        <v>1517</v>
      </c>
      <c r="K38" s="529" t="s">
        <v>1518</v>
      </c>
      <c r="L38" s="529" t="s">
        <v>1486</v>
      </c>
      <c r="M38" s="529" t="s">
        <v>133</v>
      </c>
      <c r="N38" s="529" t="s">
        <v>1488</v>
      </c>
      <c r="O38" s="529" t="s">
        <v>133</v>
      </c>
      <c r="P38" s="531">
        <v>45383</v>
      </c>
      <c r="Q38" s="531">
        <v>45595</v>
      </c>
      <c r="R38" s="15" t="s">
        <v>68</v>
      </c>
      <c r="S38" s="16">
        <f>+(S39*T38)</f>
        <v>0</v>
      </c>
      <c r="T38" s="17">
        <f t="shared" si="1"/>
        <v>0</v>
      </c>
      <c r="V38" s="25"/>
      <c r="W38" s="25"/>
      <c r="X38" s="25"/>
      <c r="Y38" s="25"/>
      <c r="Z38" s="25"/>
      <c r="AA38" s="25"/>
      <c r="AB38" s="25"/>
      <c r="AC38" s="25"/>
      <c r="AD38" s="25"/>
      <c r="AE38" s="25"/>
      <c r="AF38" s="25"/>
      <c r="AG38" s="25"/>
      <c r="AH38" s="376" t="s">
        <v>225</v>
      </c>
      <c r="AI38" s="523"/>
      <c r="AJ38" s="376" t="s">
        <v>225</v>
      </c>
      <c r="AK38" s="523"/>
    </row>
    <row r="39" spans="1:37" ht="37.4" customHeight="1" thickBot="1" x14ac:dyDescent="0.4">
      <c r="A39" s="263"/>
      <c r="B39" s="263"/>
      <c r="C39" s="263"/>
      <c r="D39" s="263"/>
      <c r="E39" s="263"/>
      <c r="F39" s="272"/>
      <c r="G39" s="271"/>
      <c r="H39" s="536"/>
      <c r="I39" s="534"/>
      <c r="J39" s="530"/>
      <c r="K39" s="530"/>
      <c r="L39" s="530"/>
      <c r="M39" s="530"/>
      <c r="N39" s="530"/>
      <c r="O39" s="530"/>
      <c r="P39" s="532"/>
      <c r="Q39" s="532"/>
      <c r="R39" s="15" t="s">
        <v>69</v>
      </c>
      <c r="S39" s="21">
        <f>100%/51</f>
        <v>1.9607843137254902E-2</v>
      </c>
      <c r="T39" s="17">
        <f t="shared" si="1"/>
        <v>1</v>
      </c>
      <c r="U39" s="22"/>
      <c r="V39" s="22"/>
      <c r="W39" s="22"/>
      <c r="X39" s="22"/>
      <c r="Y39" s="22"/>
      <c r="Z39" s="22">
        <v>0.5</v>
      </c>
      <c r="AA39" s="22"/>
      <c r="AB39" s="22"/>
      <c r="AC39" s="22"/>
      <c r="AD39" s="22"/>
      <c r="AE39" s="22"/>
      <c r="AF39" s="22">
        <v>0.5</v>
      </c>
      <c r="AG39" s="22"/>
      <c r="AH39" s="377"/>
      <c r="AI39" s="524"/>
      <c r="AJ39" s="377"/>
      <c r="AK39" s="524"/>
    </row>
    <row r="40" spans="1:37" ht="37.4" customHeight="1" thickBot="1" x14ac:dyDescent="0.4">
      <c r="A40" s="262">
        <v>14</v>
      </c>
      <c r="B40" s="262" t="s">
        <v>70</v>
      </c>
      <c r="C40" s="262" t="s">
        <v>89</v>
      </c>
      <c r="D40" s="262" t="s">
        <v>90</v>
      </c>
      <c r="E40" s="262" t="s">
        <v>91</v>
      </c>
      <c r="F40" s="272" t="s">
        <v>1389</v>
      </c>
      <c r="G40" s="271"/>
      <c r="H40" s="536"/>
      <c r="I40" s="533" t="s">
        <v>1508</v>
      </c>
      <c r="J40" s="529" t="s">
        <v>1517</v>
      </c>
      <c r="K40" s="529" t="s">
        <v>1519</v>
      </c>
      <c r="L40" s="529" t="s">
        <v>1486</v>
      </c>
      <c r="M40" s="529" t="s">
        <v>1487</v>
      </c>
      <c r="N40" s="529" t="s">
        <v>1488</v>
      </c>
      <c r="O40" s="529" t="s">
        <v>1487</v>
      </c>
      <c r="P40" s="531">
        <v>45383</v>
      </c>
      <c r="Q40" s="531">
        <v>45473</v>
      </c>
      <c r="R40" s="15" t="s">
        <v>68</v>
      </c>
      <c r="S40" s="16">
        <f>+(S41*T40)</f>
        <v>0</v>
      </c>
      <c r="T40" s="17">
        <f t="shared" si="1"/>
        <v>0</v>
      </c>
      <c r="U40" s="25"/>
      <c r="V40" s="25"/>
      <c r="W40" s="25"/>
      <c r="X40" s="25"/>
      <c r="Y40" s="25"/>
      <c r="Z40" s="25"/>
      <c r="AA40" s="25"/>
      <c r="AB40" s="25"/>
      <c r="AC40" s="25"/>
      <c r="AD40" s="25"/>
      <c r="AE40" s="25"/>
      <c r="AF40" s="25"/>
      <c r="AG40" s="25"/>
      <c r="AH40" s="376" t="s">
        <v>225</v>
      </c>
      <c r="AI40" s="376" t="s">
        <v>225</v>
      </c>
      <c r="AJ40" s="376" t="s">
        <v>225</v>
      </c>
      <c r="AK40" s="518"/>
    </row>
    <row r="41" spans="1:37" ht="37.4" customHeight="1" thickBot="1" x14ac:dyDescent="0.4">
      <c r="A41" s="263"/>
      <c r="B41" s="263"/>
      <c r="C41" s="263"/>
      <c r="D41" s="263"/>
      <c r="E41" s="263"/>
      <c r="F41" s="272"/>
      <c r="G41" s="271"/>
      <c r="H41" s="536"/>
      <c r="I41" s="534"/>
      <c r="J41" s="530"/>
      <c r="K41" s="530"/>
      <c r="L41" s="530"/>
      <c r="M41" s="530"/>
      <c r="N41" s="530"/>
      <c r="O41" s="530"/>
      <c r="P41" s="532"/>
      <c r="Q41" s="532"/>
      <c r="R41" s="15" t="s">
        <v>69</v>
      </c>
      <c r="S41" s="21">
        <f>100%/51</f>
        <v>1.9607843137254902E-2</v>
      </c>
      <c r="T41" s="17">
        <f t="shared" si="1"/>
        <v>1</v>
      </c>
      <c r="U41" s="22"/>
      <c r="V41" s="22"/>
      <c r="W41" s="22"/>
      <c r="X41" s="22"/>
      <c r="Y41" s="22"/>
      <c r="Z41" s="22"/>
      <c r="AA41" s="22"/>
      <c r="AB41" s="22"/>
      <c r="AC41" s="22"/>
      <c r="AD41" s="22"/>
      <c r="AE41" s="22"/>
      <c r="AF41" s="22">
        <v>1</v>
      </c>
      <c r="AG41" s="22"/>
      <c r="AH41" s="377"/>
      <c r="AI41" s="377"/>
      <c r="AJ41" s="377"/>
      <c r="AK41" s="519"/>
    </row>
    <row r="42" spans="1:37" ht="37.4" customHeight="1" thickBot="1" x14ac:dyDescent="0.4">
      <c r="A42" s="262">
        <v>15</v>
      </c>
      <c r="B42" s="262" t="s">
        <v>70</v>
      </c>
      <c r="C42" s="262" t="s">
        <v>89</v>
      </c>
      <c r="D42" s="262" t="s">
        <v>90</v>
      </c>
      <c r="E42" s="262" t="s">
        <v>91</v>
      </c>
      <c r="F42" s="272" t="s">
        <v>1389</v>
      </c>
      <c r="G42" s="271"/>
      <c r="H42" s="536"/>
      <c r="I42" s="533" t="s">
        <v>1508</v>
      </c>
      <c r="J42" s="529" t="s">
        <v>1520</v>
      </c>
      <c r="K42" s="529" t="s">
        <v>1521</v>
      </c>
      <c r="L42" s="529" t="s">
        <v>1486</v>
      </c>
      <c r="M42" s="529" t="s">
        <v>1487</v>
      </c>
      <c r="N42" s="529" t="s">
        <v>1488</v>
      </c>
      <c r="O42" s="529" t="s">
        <v>1487</v>
      </c>
      <c r="P42" s="531">
        <v>45323</v>
      </c>
      <c r="Q42" s="531">
        <v>45381</v>
      </c>
      <c r="R42" s="15" t="s">
        <v>68</v>
      </c>
      <c r="S42" s="16">
        <f>+(S43*T42)</f>
        <v>0</v>
      </c>
      <c r="T42" s="17">
        <f t="shared" si="1"/>
        <v>0</v>
      </c>
      <c r="U42" s="25"/>
      <c r="V42" s="25"/>
      <c r="W42" s="25"/>
      <c r="X42" s="25"/>
      <c r="Y42" s="25"/>
      <c r="Z42" s="25"/>
      <c r="AA42" s="25"/>
      <c r="AB42" s="25"/>
      <c r="AC42" s="25"/>
      <c r="AD42" s="25"/>
      <c r="AE42" s="25"/>
      <c r="AF42" s="25"/>
      <c r="AG42" s="25"/>
      <c r="AH42" s="376" t="s">
        <v>225</v>
      </c>
      <c r="AI42" s="376" t="s">
        <v>225</v>
      </c>
      <c r="AJ42" s="376" t="s">
        <v>225</v>
      </c>
      <c r="AK42" s="518"/>
    </row>
    <row r="43" spans="1:37" ht="37.4" customHeight="1" thickBot="1" x14ac:dyDescent="0.4">
      <c r="A43" s="263"/>
      <c r="B43" s="263"/>
      <c r="C43" s="263"/>
      <c r="D43" s="263"/>
      <c r="E43" s="263"/>
      <c r="F43" s="272"/>
      <c r="G43" s="271"/>
      <c r="H43" s="536"/>
      <c r="I43" s="534"/>
      <c r="J43" s="530"/>
      <c r="K43" s="530"/>
      <c r="L43" s="530"/>
      <c r="M43" s="530"/>
      <c r="N43" s="530"/>
      <c r="O43" s="530"/>
      <c r="P43" s="532"/>
      <c r="Q43" s="532"/>
      <c r="R43" s="15" t="s">
        <v>69</v>
      </c>
      <c r="S43" s="21">
        <f>100%/51</f>
        <v>1.9607843137254902E-2</v>
      </c>
      <c r="T43" s="17">
        <f t="shared" si="1"/>
        <v>1</v>
      </c>
      <c r="U43" s="22"/>
      <c r="V43" s="22"/>
      <c r="W43" s="22"/>
      <c r="X43" s="22"/>
      <c r="Y43" s="22"/>
      <c r="Z43" s="22"/>
      <c r="AA43" s="22"/>
      <c r="AB43" s="22"/>
      <c r="AC43" s="22"/>
      <c r="AD43" s="22"/>
      <c r="AE43" s="22"/>
      <c r="AF43" s="22">
        <v>1</v>
      </c>
      <c r="AG43" s="22"/>
      <c r="AH43" s="377"/>
      <c r="AI43" s="377"/>
      <c r="AJ43" s="377"/>
      <c r="AK43" s="519"/>
    </row>
    <row r="44" spans="1:37" ht="37.4" customHeight="1" thickBot="1" x14ac:dyDescent="0.4">
      <c r="A44" s="262">
        <v>16</v>
      </c>
      <c r="B44" s="262" t="s">
        <v>70</v>
      </c>
      <c r="C44" s="262" t="s">
        <v>89</v>
      </c>
      <c r="D44" s="262" t="s">
        <v>90</v>
      </c>
      <c r="E44" s="262" t="s">
        <v>91</v>
      </c>
      <c r="F44" s="272" t="s">
        <v>1389</v>
      </c>
      <c r="G44" s="271"/>
      <c r="H44" s="536"/>
      <c r="I44" s="533" t="s">
        <v>1508</v>
      </c>
      <c r="J44" s="529" t="s">
        <v>1520</v>
      </c>
      <c r="K44" s="529" t="s">
        <v>1522</v>
      </c>
      <c r="L44" s="529" t="s">
        <v>1486</v>
      </c>
      <c r="M44" s="529" t="s">
        <v>1523</v>
      </c>
      <c r="N44" s="529" t="s">
        <v>1488</v>
      </c>
      <c r="O44" s="529" t="s">
        <v>1523</v>
      </c>
      <c r="P44" s="531">
        <v>45383</v>
      </c>
      <c r="Q44" s="531">
        <v>45595</v>
      </c>
      <c r="R44" s="15" t="s">
        <v>68</v>
      </c>
      <c r="S44" s="16">
        <f>+(S45*T44)</f>
        <v>4.9019607843137254E-3</v>
      </c>
      <c r="T44" s="17">
        <f t="shared" si="1"/>
        <v>0.25</v>
      </c>
      <c r="U44" s="25"/>
      <c r="V44" s="25"/>
      <c r="W44" s="25">
        <v>0.25</v>
      </c>
      <c r="X44" s="25"/>
      <c r="Y44" s="25"/>
      <c r="Z44" s="25"/>
      <c r="AA44" s="25"/>
      <c r="AB44" s="25"/>
      <c r="AC44" s="25"/>
      <c r="AD44" s="25"/>
      <c r="AE44" s="25"/>
      <c r="AF44" s="25"/>
      <c r="AG44" s="25"/>
      <c r="AH44" s="523" t="s">
        <v>1524</v>
      </c>
      <c r="AI44" s="526"/>
      <c r="AJ44" s="518"/>
      <c r="AK44" s="518"/>
    </row>
    <row r="45" spans="1:37" ht="37.4" customHeight="1" thickBot="1" x14ac:dyDescent="0.4">
      <c r="A45" s="263"/>
      <c r="B45" s="263"/>
      <c r="C45" s="263"/>
      <c r="D45" s="263"/>
      <c r="E45" s="263"/>
      <c r="F45" s="272"/>
      <c r="G45" s="271"/>
      <c r="H45" s="536"/>
      <c r="I45" s="534"/>
      <c r="J45" s="530"/>
      <c r="K45" s="530"/>
      <c r="L45" s="530"/>
      <c r="M45" s="530"/>
      <c r="N45" s="530"/>
      <c r="O45" s="530"/>
      <c r="P45" s="532"/>
      <c r="Q45" s="532"/>
      <c r="R45" s="15" t="s">
        <v>69</v>
      </c>
      <c r="S45" s="21">
        <f>100%/51</f>
        <v>1.9607843137254902E-2</v>
      </c>
      <c r="T45" s="17">
        <f t="shared" si="1"/>
        <v>1</v>
      </c>
      <c r="U45" s="22"/>
      <c r="V45" s="22"/>
      <c r="W45" s="22">
        <v>0.25</v>
      </c>
      <c r="X45" s="22"/>
      <c r="Y45" s="22"/>
      <c r="Z45" s="22">
        <v>0.25</v>
      </c>
      <c r="AA45" s="22"/>
      <c r="AB45" s="22"/>
      <c r="AC45" s="22">
        <v>0.25</v>
      </c>
      <c r="AD45" s="22"/>
      <c r="AE45" s="22"/>
      <c r="AF45" s="22">
        <v>0.25</v>
      </c>
      <c r="AG45" s="22"/>
      <c r="AH45" s="524"/>
      <c r="AI45" s="527"/>
      <c r="AJ45" s="519"/>
      <c r="AK45" s="519"/>
    </row>
    <row r="46" spans="1:37" ht="37.4" customHeight="1" thickBot="1" x14ac:dyDescent="0.4">
      <c r="A46" s="262">
        <v>17</v>
      </c>
      <c r="B46" s="262" t="s">
        <v>70</v>
      </c>
      <c r="C46" s="262" t="s">
        <v>89</v>
      </c>
      <c r="D46" s="262" t="s">
        <v>90</v>
      </c>
      <c r="E46" s="262" t="s">
        <v>91</v>
      </c>
      <c r="F46" s="272" t="s">
        <v>1389</v>
      </c>
      <c r="G46" s="271"/>
      <c r="H46" s="536"/>
      <c r="I46" s="533" t="s">
        <v>1508</v>
      </c>
      <c r="J46" s="529" t="s">
        <v>1520</v>
      </c>
      <c r="K46" s="529" t="s">
        <v>1525</v>
      </c>
      <c r="L46" s="529" t="s">
        <v>1486</v>
      </c>
      <c r="M46" s="529" t="s">
        <v>1523</v>
      </c>
      <c r="N46" s="529" t="s">
        <v>1488</v>
      </c>
      <c r="O46" s="529" t="s">
        <v>1523</v>
      </c>
      <c r="P46" s="531">
        <v>45323</v>
      </c>
      <c r="Q46" s="531">
        <v>45657</v>
      </c>
      <c r="R46" s="15" t="s">
        <v>68</v>
      </c>
      <c r="S46" s="16">
        <f>+(S47*T46)</f>
        <v>4.9019607843137254E-3</v>
      </c>
      <c r="T46" s="17">
        <f t="shared" si="1"/>
        <v>0.25</v>
      </c>
      <c r="U46" s="25"/>
      <c r="V46" s="25"/>
      <c r="W46" s="25">
        <v>0.25</v>
      </c>
      <c r="X46" s="25"/>
      <c r="Y46" s="25"/>
      <c r="Z46" s="25"/>
      <c r="AA46" s="25"/>
      <c r="AB46" s="25"/>
      <c r="AC46" s="25"/>
      <c r="AD46" s="25"/>
      <c r="AE46" s="25"/>
      <c r="AF46" s="25"/>
      <c r="AG46" s="25"/>
      <c r="AH46" s="540" t="s">
        <v>1524</v>
      </c>
      <c r="AI46" s="526"/>
      <c r="AJ46" s="518"/>
      <c r="AK46" s="518"/>
    </row>
    <row r="47" spans="1:37" ht="37.4" customHeight="1" thickBot="1" x14ac:dyDescent="0.4">
      <c r="A47" s="263"/>
      <c r="B47" s="263"/>
      <c r="C47" s="263"/>
      <c r="D47" s="263"/>
      <c r="E47" s="263"/>
      <c r="F47" s="272"/>
      <c r="G47" s="271"/>
      <c r="H47" s="536"/>
      <c r="I47" s="534"/>
      <c r="J47" s="530"/>
      <c r="K47" s="530"/>
      <c r="L47" s="530"/>
      <c r="M47" s="530"/>
      <c r="N47" s="530"/>
      <c r="O47" s="530"/>
      <c r="P47" s="532"/>
      <c r="Q47" s="532"/>
      <c r="R47" s="15" t="s">
        <v>69</v>
      </c>
      <c r="S47" s="21">
        <f>100%/51</f>
        <v>1.9607843137254902E-2</v>
      </c>
      <c r="T47" s="17">
        <f t="shared" si="1"/>
        <v>1</v>
      </c>
      <c r="U47" s="22"/>
      <c r="V47" s="22"/>
      <c r="W47" s="22">
        <v>0.25</v>
      </c>
      <c r="X47" s="22"/>
      <c r="Y47" s="22"/>
      <c r="Z47" s="22">
        <v>0.25</v>
      </c>
      <c r="AA47" s="22"/>
      <c r="AB47" s="22"/>
      <c r="AC47" s="22">
        <v>0.25</v>
      </c>
      <c r="AD47" s="22"/>
      <c r="AE47" s="22"/>
      <c r="AF47" s="22">
        <v>0.25</v>
      </c>
      <c r="AG47" s="22"/>
      <c r="AH47" s="541"/>
      <c r="AI47" s="527"/>
      <c r="AJ47" s="519"/>
      <c r="AK47" s="519"/>
    </row>
    <row r="48" spans="1:37" ht="37.4" customHeight="1" thickBot="1" x14ac:dyDescent="0.4">
      <c r="A48" s="262">
        <v>18</v>
      </c>
      <c r="B48" s="262" t="s">
        <v>70</v>
      </c>
      <c r="C48" s="262" t="s">
        <v>89</v>
      </c>
      <c r="D48" s="262" t="s">
        <v>90</v>
      </c>
      <c r="E48" s="262" t="s">
        <v>91</v>
      </c>
      <c r="F48" s="272" t="s">
        <v>1389</v>
      </c>
      <c r="G48" s="271"/>
      <c r="H48" s="536"/>
      <c r="I48" s="533" t="s">
        <v>1508</v>
      </c>
      <c r="J48" s="529" t="s">
        <v>1526</v>
      </c>
      <c r="K48" s="529" t="s">
        <v>1527</v>
      </c>
      <c r="L48" s="529" t="s">
        <v>1486</v>
      </c>
      <c r="M48" s="529" t="s">
        <v>133</v>
      </c>
      <c r="N48" s="529" t="s">
        <v>1488</v>
      </c>
      <c r="O48" s="529" t="s">
        <v>133</v>
      </c>
      <c r="P48" s="531">
        <v>45474</v>
      </c>
      <c r="Q48" s="531" t="s">
        <v>1528</v>
      </c>
      <c r="R48" s="15" t="s">
        <v>68</v>
      </c>
      <c r="S48" s="16">
        <f>+(S49*T48)</f>
        <v>0</v>
      </c>
      <c r="T48" s="17">
        <f t="shared" si="1"/>
        <v>0</v>
      </c>
      <c r="U48" s="25"/>
      <c r="V48" s="25"/>
      <c r="W48" s="25"/>
      <c r="X48" s="25"/>
      <c r="Y48" s="25"/>
      <c r="Z48" s="25"/>
      <c r="AA48" s="25"/>
      <c r="AB48" s="25"/>
      <c r="AC48" s="25"/>
      <c r="AD48" s="25"/>
      <c r="AE48" s="25"/>
      <c r="AF48" s="25"/>
      <c r="AG48" s="25"/>
      <c r="AH48" s="376" t="s">
        <v>225</v>
      </c>
      <c r="AI48" s="526"/>
      <c r="AJ48" s="376" t="s">
        <v>225</v>
      </c>
      <c r="AK48" s="518"/>
    </row>
    <row r="49" spans="1:37" ht="37.4" customHeight="1" thickBot="1" x14ac:dyDescent="0.4">
      <c r="A49" s="263"/>
      <c r="B49" s="263"/>
      <c r="C49" s="263"/>
      <c r="D49" s="263"/>
      <c r="E49" s="263"/>
      <c r="F49" s="272"/>
      <c r="G49" s="263"/>
      <c r="H49" s="537"/>
      <c r="I49" s="534"/>
      <c r="J49" s="530"/>
      <c r="K49" s="530"/>
      <c r="L49" s="530"/>
      <c r="M49" s="530"/>
      <c r="N49" s="530"/>
      <c r="O49" s="530"/>
      <c r="P49" s="532"/>
      <c r="Q49" s="532"/>
      <c r="R49" s="15" t="s">
        <v>69</v>
      </c>
      <c r="S49" s="21">
        <f>100%/51</f>
        <v>1.9607843137254902E-2</v>
      </c>
      <c r="T49" s="17">
        <f t="shared" si="1"/>
        <v>1</v>
      </c>
      <c r="U49" s="22"/>
      <c r="V49" s="22"/>
      <c r="W49" s="22"/>
      <c r="X49" s="22"/>
      <c r="Y49" s="22"/>
      <c r="Z49" s="22">
        <v>0.5</v>
      </c>
      <c r="AA49" s="22"/>
      <c r="AB49" s="22"/>
      <c r="AC49" s="22"/>
      <c r="AD49" s="22"/>
      <c r="AE49" s="22"/>
      <c r="AF49" s="22">
        <v>0.5</v>
      </c>
      <c r="AG49" s="22"/>
      <c r="AH49" s="377"/>
      <c r="AI49" s="527"/>
      <c r="AJ49" s="377"/>
      <c r="AK49" s="519"/>
    </row>
    <row r="50" spans="1:37" ht="37.4" customHeight="1" thickBot="1" x14ac:dyDescent="0.4">
      <c r="A50" s="262">
        <v>19</v>
      </c>
      <c r="B50" s="262" t="s">
        <v>70</v>
      </c>
      <c r="C50" s="262" t="s">
        <v>89</v>
      </c>
      <c r="D50" s="262" t="s">
        <v>90</v>
      </c>
      <c r="E50" s="262" t="s">
        <v>91</v>
      </c>
      <c r="F50" s="272" t="s">
        <v>1389</v>
      </c>
      <c r="G50" s="262" t="s">
        <v>1529</v>
      </c>
      <c r="H50" s="535" t="s">
        <v>1530</v>
      </c>
      <c r="I50" s="533" t="s">
        <v>1531</v>
      </c>
      <c r="J50" s="529" t="s">
        <v>1532</v>
      </c>
      <c r="K50" s="529" t="s">
        <v>1533</v>
      </c>
      <c r="L50" s="529" t="s">
        <v>1486</v>
      </c>
      <c r="M50" s="529" t="s">
        <v>1487</v>
      </c>
      <c r="N50" s="529" t="s">
        <v>1488</v>
      </c>
      <c r="O50" s="529" t="s">
        <v>1487</v>
      </c>
      <c r="P50" s="531">
        <v>45352</v>
      </c>
      <c r="Q50" s="531">
        <v>45473</v>
      </c>
      <c r="R50" s="15" t="s">
        <v>68</v>
      </c>
      <c r="S50" s="16">
        <f>+(S51*T50)</f>
        <v>0</v>
      </c>
      <c r="T50" s="17">
        <f t="shared" si="1"/>
        <v>0</v>
      </c>
      <c r="U50" s="25"/>
      <c r="V50" s="25"/>
      <c r="W50" s="25"/>
      <c r="X50" s="25"/>
      <c r="Y50" s="25"/>
      <c r="Z50" s="25"/>
      <c r="AA50" s="25"/>
      <c r="AB50" s="25"/>
      <c r="AC50" s="25"/>
      <c r="AD50" s="25"/>
      <c r="AE50" s="25"/>
      <c r="AF50" s="25"/>
      <c r="AG50" s="25"/>
      <c r="AH50" s="376" t="s">
        <v>225</v>
      </c>
      <c r="AI50" s="376" t="s">
        <v>225</v>
      </c>
      <c r="AJ50" s="376" t="s">
        <v>225</v>
      </c>
      <c r="AK50" s="518"/>
    </row>
    <row r="51" spans="1:37" ht="37.4" customHeight="1" thickBot="1" x14ac:dyDescent="0.4">
      <c r="A51" s="263"/>
      <c r="B51" s="263"/>
      <c r="C51" s="263"/>
      <c r="D51" s="263"/>
      <c r="E51" s="263"/>
      <c r="F51" s="272"/>
      <c r="G51" s="271"/>
      <c r="H51" s="536"/>
      <c r="I51" s="534"/>
      <c r="J51" s="530"/>
      <c r="K51" s="530"/>
      <c r="L51" s="530"/>
      <c r="M51" s="530"/>
      <c r="N51" s="530"/>
      <c r="O51" s="530"/>
      <c r="P51" s="532"/>
      <c r="Q51" s="532"/>
      <c r="R51" s="15" t="s">
        <v>69</v>
      </c>
      <c r="S51" s="21">
        <f>100%/51</f>
        <v>1.9607843137254902E-2</v>
      </c>
      <c r="T51" s="17">
        <f t="shared" si="1"/>
        <v>1</v>
      </c>
      <c r="U51" s="22"/>
      <c r="V51" s="22"/>
      <c r="W51" s="22"/>
      <c r="X51" s="22"/>
      <c r="Y51" s="22"/>
      <c r="Z51" s="22"/>
      <c r="AA51" s="22"/>
      <c r="AB51" s="22"/>
      <c r="AC51" s="22"/>
      <c r="AD51" s="22"/>
      <c r="AE51" s="22"/>
      <c r="AF51" s="22">
        <v>1</v>
      </c>
      <c r="AG51" s="22"/>
      <c r="AH51" s="377"/>
      <c r="AI51" s="377"/>
      <c r="AJ51" s="377"/>
      <c r="AK51" s="519"/>
    </row>
    <row r="52" spans="1:37" ht="37.4" customHeight="1" thickBot="1" x14ac:dyDescent="0.4">
      <c r="A52" s="262">
        <v>20</v>
      </c>
      <c r="B52" s="262" t="s">
        <v>70</v>
      </c>
      <c r="C52" s="262" t="s">
        <v>89</v>
      </c>
      <c r="D52" s="262" t="s">
        <v>90</v>
      </c>
      <c r="E52" s="262" t="s">
        <v>91</v>
      </c>
      <c r="F52" s="272" t="s">
        <v>1389</v>
      </c>
      <c r="G52" s="271"/>
      <c r="H52" s="536"/>
      <c r="I52" s="533" t="s">
        <v>1531</v>
      </c>
      <c r="J52" s="529" t="s">
        <v>1532</v>
      </c>
      <c r="K52" s="529" t="s">
        <v>1534</v>
      </c>
      <c r="L52" s="529" t="s">
        <v>1486</v>
      </c>
      <c r="M52" s="529" t="s">
        <v>1487</v>
      </c>
      <c r="N52" s="529" t="s">
        <v>1488</v>
      </c>
      <c r="O52" s="529" t="s">
        <v>1487</v>
      </c>
      <c r="P52" s="531">
        <v>45383</v>
      </c>
      <c r="Q52" s="531">
        <v>45473</v>
      </c>
      <c r="R52" s="15" t="s">
        <v>68</v>
      </c>
      <c r="S52" s="16">
        <f>+(S53*T52)</f>
        <v>0</v>
      </c>
      <c r="T52" s="17">
        <f t="shared" si="1"/>
        <v>0</v>
      </c>
      <c r="U52" s="25"/>
      <c r="V52" s="25"/>
      <c r="W52" s="25"/>
      <c r="X52" s="25"/>
      <c r="Y52" s="25"/>
      <c r="Z52" s="25"/>
      <c r="AA52" s="25"/>
      <c r="AB52" s="25"/>
      <c r="AC52" s="25"/>
      <c r="AD52" s="25"/>
      <c r="AE52" s="25"/>
      <c r="AF52" s="25"/>
      <c r="AG52" s="25"/>
      <c r="AH52" s="376" t="s">
        <v>225</v>
      </c>
      <c r="AI52" s="376" t="s">
        <v>225</v>
      </c>
      <c r="AJ52" s="376" t="s">
        <v>225</v>
      </c>
      <c r="AK52" s="518"/>
    </row>
    <row r="53" spans="1:37" ht="37.4" customHeight="1" thickBot="1" x14ac:dyDescent="0.4">
      <c r="A53" s="263"/>
      <c r="B53" s="263"/>
      <c r="C53" s="263"/>
      <c r="D53" s="263"/>
      <c r="E53" s="263"/>
      <c r="F53" s="272"/>
      <c r="G53" s="271"/>
      <c r="H53" s="536"/>
      <c r="I53" s="534"/>
      <c r="J53" s="530"/>
      <c r="K53" s="530"/>
      <c r="L53" s="530"/>
      <c r="M53" s="530"/>
      <c r="N53" s="530"/>
      <c r="O53" s="530"/>
      <c r="P53" s="532"/>
      <c r="Q53" s="532"/>
      <c r="R53" s="15" t="s">
        <v>69</v>
      </c>
      <c r="S53" s="21">
        <f>100%/51</f>
        <v>1.9607843137254902E-2</v>
      </c>
      <c r="T53" s="17">
        <f t="shared" si="1"/>
        <v>1</v>
      </c>
      <c r="U53" s="22"/>
      <c r="V53" s="22"/>
      <c r="W53" s="22"/>
      <c r="X53" s="22"/>
      <c r="Y53" s="22"/>
      <c r="Z53" s="22"/>
      <c r="AA53" s="22"/>
      <c r="AB53" s="22"/>
      <c r="AC53" s="22"/>
      <c r="AD53" s="22"/>
      <c r="AE53" s="22"/>
      <c r="AF53" s="22">
        <v>1</v>
      </c>
      <c r="AG53" s="22"/>
      <c r="AH53" s="377"/>
      <c r="AI53" s="377"/>
      <c r="AJ53" s="377"/>
      <c r="AK53" s="519"/>
    </row>
    <row r="54" spans="1:37" ht="37.4" customHeight="1" thickBot="1" x14ac:dyDescent="0.4">
      <c r="A54" s="262">
        <v>21</v>
      </c>
      <c r="B54" s="262" t="s">
        <v>70</v>
      </c>
      <c r="C54" s="262" t="s">
        <v>89</v>
      </c>
      <c r="D54" s="262" t="s">
        <v>90</v>
      </c>
      <c r="E54" s="262" t="s">
        <v>91</v>
      </c>
      <c r="F54" s="272" t="s">
        <v>1389</v>
      </c>
      <c r="G54" s="271"/>
      <c r="H54" s="536"/>
      <c r="I54" s="533" t="s">
        <v>1531</v>
      </c>
      <c r="J54" s="529" t="s">
        <v>1532</v>
      </c>
      <c r="K54" s="529" t="s">
        <v>1535</v>
      </c>
      <c r="L54" s="529" t="s">
        <v>1486</v>
      </c>
      <c r="M54" s="529" t="s">
        <v>133</v>
      </c>
      <c r="N54" s="529" t="s">
        <v>1488</v>
      </c>
      <c r="O54" s="529" t="s">
        <v>133</v>
      </c>
      <c r="P54" s="531">
        <v>45383</v>
      </c>
      <c r="Q54" s="531">
        <v>45473</v>
      </c>
      <c r="R54" s="15" t="s">
        <v>68</v>
      </c>
      <c r="S54" s="16">
        <f>+(S55*T54)</f>
        <v>0</v>
      </c>
      <c r="T54" s="17">
        <f t="shared" si="1"/>
        <v>0</v>
      </c>
      <c r="U54" s="25"/>
      <c r="V54" s="25"/>
      <c r="W54" s="25"/>
      <c r="X54" s="25"/>
      <c r="Y54" s="25"/>
      <c r="Z54" s="25"/>
      <c r="AA54" s="25"/>
      <c r="AB54" s="25"/>
      <c r="AC54" s="25"/>
      <c r="AD54" s="25"/>
      <c r="AE54" s="25"/>
      <c r="AF54" s="25"/>
      <c r="AG54" s="25"/>
      <c r="AH54" s="376" t="s">
        <v>225</v>
      </c>
      <c r="AI54" s="526"/>
      <c r="AJ54" s="376" t="s">
        <v>225</v>
      </c>
      <c r="AK54" s="518"/>
    </row>
    <row r="55" spans="1:37" ht="37.4" customHeight="1" thickBot="1" x14ac:dyDescent="0.4">
      <c r="A55" s="263"/>
      <c r="B55" s="263"/>
      <c r="C55" s="263"/>
      <c r="D55" s="263"/>
      <c r="E55" s="263"/>
      <c r="F55" s="272"/>
      <c r="G55" s="271"/>
      <c r="H55" s="536"/>
      <c r="I55" s="534"/>
      <c r="J55" s="530"/>
      <c r="K55" s="530"/>
      <c r="L55" s="530"/>
      <c r="M55" s="530"/>
      <c r="N55" s="530"/>
      <c r="O55" s="530"/>
      <c r="P55" s="532"/>
      <c r="Q55" s="532"/>
      <c r="R55" s="15" t="s">
        <v>69</v>
      </c>
      <c r="S55" s="21">
        <f>100%/51</f>
        <v>1.9607843137254902E-2</v>
      </c>
      <c r="T55" s="17">
        <f t="shared" si="1"/>
        <v>1</v>
      </c>
      <c r="U55" s="22"/>
      <c r="V55" s="22"/>
      <c r="W55" s="22"/>
      <c r="X55" s="22"/>
      <c r="Y55" s="22"/>
      <c r="Z55" s="22">
        <v>0.5</v>
      </c>
      <c r="AA55" s="22"/>
      <c r="AB55" s="22"/>
      <c r="AC55" s="22"/>
      <c r="AD55" s="22"/>
      <c r="AE55" s="22"/>
      <c r="AF55" s="22">
        <v>0.5</v>
      </c>
      <c r="AG55" s="22"/>
      <c r="AH55" s="377"/>
      <c r="AI55" s="527"/>
      <c r="AJ55" s="377"/>
      <c r="AK55" s="519"/>
    </row>
    <row r="56" spans="1:37" ht="37.4" customHeight="1" thickBot="1" x14ac:dyDescent="0.4">
      <c r="A56" s="262">
        <v>22</v>
      </c>
      <c r="B56" s="262" t="s">
        <v>70</v>
      </c>
      <c r="C56" s="262" t="s">
        <v>89</v>
      </c>
      <c r="D56" s="262" t="s">
        <v>90</v>
      </c>
      <c r="E56" s="262" t="s">
        <v>91</v>
      </c>
      <c r="F56" s="272" t="s">
        <v>1389</v>
      </c>
      <c r="G56" s="271"/>
      <c r="H56" s="536"/>
      <c r="I56" s="533" t="s">
        <v>1531</v>
      </c>
      <c r="J56" s="529" t="s">
        <v>1532</v>
      </c>
      <c r="K56" s="529" t="s">
        <v>1536</v>
      </c>
      <c r="L56" s="529" t="s">
        <v>1486</v>
      </c>
      <c r="M56" s="529" t="s">
        <v>1487</v>
      </c>
      <c r="N56" s="529" t="s">
        <v>1488</v>
      </c>
      <c r="O56" s="529" t="s">
        <v>1487</v>
      </c>
      <c r="P56" s="531">
        <v>45444</v>
      </c>
      <c r="Q56" s="531">
        <v>45534</v>
      </c>
      <c r="R56" s="15" t="s">
        <v>68</v>
      </c>
      <c r="S56" s="16">
        <f>+(S57*T56)</f>
        <v>0</v>
      </c>
      <c r="T56" s="17">
        <f t="shared" si="1"/>
        <v>0</v>
      </c>
      <c r="U56" s="25"/>
      <c r="V56" s="25"/>
      <c r="W56" s="25"/>
      <c r="X56" s="25"/>
      <c r="Y56" s="25"/>
      <c r="Z56" s="25"/>
      <c r="AA56" s="25"/>
      <c r="AB56" s="25"/>
      <c r="AC56" s="25"/>
      <c r="AD56" s="25"/>
      <c r="AE56" s="25"/>
      <c r="AF56" s="25"/>
      <c r="AG56" s="25"/>
      <c r="AH56" s="376" t="s">
        <v>225</v>
      </c>
      <c r="AI56" s="376" t="s">
        <v>225</v>
      </c>
      <c r="AJ56" s="376" t="s">
        <v>225</v>
      </c>
      <c r="AK56" s="518"/>
    </row>
    <row r="57" spans="1:37" ht="37.4" customHeight="1" thickBot="1" x14ac:dyDescent="0.4">
      <c r="A57" s="263"/>
      <c r="B57" s="263"/>
      <c r="C57" s="263"/>
      <c r="D57" s="263"/>
      <c r="E57" s="263"/>
      <c r="F57" s="272"/>
      <c r="G57" s="271"/>
      <c r="H57" s="536"/>
      <c r="I57" s="534"/>
      <c r="J57" s="530"/>
      <c r="K57" s="530"/>
      <c r="L57" s="530"/>
      <c r="M57" s="530"/>
      <c r="N57" s="530"/>
      <c r="O57" s="530"/>
      <c r="P57" s="532"/>
      <c r="Q57" s="532"/>
      <c r="R57" s="15" t="s">
        <v>69</v>
      </c>
      <c r="S57" s="21">
        <f>100%/51</f>
        <v>1.9607843137254902E-2</v>
      </c>
      <c r="T57" s="17">
        <f t="shared" si="1"/>
        <v>1</v>
      </c>
      <c r="U57" s="22"/>
      <c r="V57" s="22"/>
      <c r="W57" s="22"/>
      <c r="X57" s="22"/>
      <c r="Y57" s="22"/>
      <c r="Z57" s="22"/>
      <c r="AA57" s="22"/>
      <c r="AB57" s="22"/>
      <c r="AC57" s="22"/>
      <c r="AD57" s="22"/>
      <c r="AE57" s="22"/>
      <c r="AF57" s="22">
        <v>1</v>
      </c>
      <c r="AG57" s="22"/>
      <c r="AH57" s="377"/>
      <c r="AI57" s="377"/>
      <c r="AJ57" s="377"/>
      <c r="AK57" s="519"/>
    </row>
    <row r="58" spans="1:37" ht="37.4" customHeight="1" thickBot="1" x14ac:dyDescent="0.4">
      <c r="A58" s="262">
        <v>23</v>
      </c>
      <c r="B58" s="262" t="s">
        <v>70</v>
      </c>
      <c r="C58" s="262" t="s">
        <v>89</v>
      </c>
      <c r="D58" s="262" t="s">
        <v>90</v>
      </c>
      <c r="E58" s="262" t="s">
        <v>91</v>
      </c>
      <c r="F58" s="272" t="s">
        <v>1389</v>
      </c>
      <c r="G58" s="271"/>
      <c r="H58" s="536"/>
      <c r="I58" s="533" t="s">
        <v>1531</v>
      </c>
      <c r="J58" s="529" t="s">
        <v>1532</v>
      </c>
      <c r="K58" s="529" t="s">
        <v>1537</v>
      </c>
      <c r="L58" s="529" t="s">
        <v>1486</v>
      </c>
      <c r="M58" s="529" t="s">
        <v>1487</v>
      </c>
      <c r="N58" s="529" t="s">
        <v>1488</v>
      </c>
      <c r="O58" s="529" t="s">
        <v>1487</v>
      </c>
      <c r="P58" s="531">
        <v>45383</v>
      </c>
      <c r="Q58" s="531">
        <v>45473</v>
      </c>
      <c r="R58" s="15" t="s">
        <v>68</v>
      </c>
      <c r="S58" s="16">
        <f>+(S59*T58)</f>
        <v>0</v>
      </c>
      <c r="T58" s="17">
        <f t="shared" si="1"/>
        <v>0</v>
      </c>
      <c r="U58" s="22"/>
      <c r="V58" s="22"/>
      <c r="W58" s="22"/>
      <c r="X58" s="22"/>
      <c r="Y58" s="22"/>
      <c r="Z58" s="22"/>
      <c r="AA58" s="25"/>
      <c r="AB58" s="25"/>
      <c r="AC58" s="25"/>
      <c r="AD58" s="25"/>
      <c r="AE58" s="25"/>
      <c r="AF58" s="25"/>
      <c r="AG58" s="25"/>
      <c r="AH58" s="376" t="s">
        <v>225</v>
      </c>
      <c r="AI58" s="376" t="s">
        <v>225</v>
      </c>
      <c r="AJ58" s="376" t="s">
        <v>225</v>
      </c>
      <c r="AK58" s="518"/>
    </row>
    <row r="59" spans="1:37" ht="37.4" customHeight="1" thickBot="1" x14ac:dyDescent="0.4">
      <c r="A59" s="263"/>
      <c r="B59" s="263"/>
      <c r="C59" s="263"/>
      <c r="D59" s="263"/>
      <c r="E59" s="263"/>
      <c r="F59" s="272"/>
      <c r="G59" s="271"/>
      <c r="H59" s="536"/>
      <c r="I59" s="534"/>
      <c r="J59" s="530"/>
      <c r="K59" s="530"/>
      <c r="L59" s="530"/>
      <c r="M59" s="530"/>
      <c r="N59" s="530"/>
      <c r="O59" s="530"/>
      <c r="P59" s="532"/>
      <c r="Q59" s="532"/>
      <c r="R59" s="15" t="s">
        <v>69</v>
      </c>
      <c r="S59" s="21">
        <f>100%/51</f>
        <v>1.9607843137254902E-2</v>
      </c>
      <c r="T59" s="17">
        <f t="shared" si="1"/>
        <v>1</v>
      </c>
      <c r="U59" s="22"/>
      <c r="V59" s="22"/>
      <c r="W59" s="22"/>
      <c r="X59" s="22"/>
      <c r="Y59" s="22"/>
      <c r="Z59" s="22"/>
      <c r="AA59" s="22"/>
      <c r="AB59" s="22"/>
      <c r="AC59" s="22"/>
      <c r="AD59" s="22"/>
      <c r="AE59" s="22"/>
      <c r="AF59" s="22">
        <v>1</v>
      </c>
      <c r="AG59" s="22"/>
      <c r="AH59" s="377"/>
      <c r="AI59" s="377"/>
      <c r="AJ59" s="377"/>
      <c r="AK59" s="519"/>
    </row>
    <row r="60" spans="1:37" ht="37.4" customHeight="1" thickBot="1" x14ac:dyDescent="0.4">
      <c r="A60" s="262">
        <v>24</v>
      </c>
      <c r="B60" s="262" t="s">
        <v>70</v>
      </c>
      <c r="C60" s="262" t="s">
        <v>89</v>
      </c>
      <c r="D60" s="262" t="s">
        <v>90</v>
      </c>
      <c r="E60" s="262" t="s">
        <v>91</v>
      </c>
      <c r="F60" s="272" t="s">
        <v>1389</v>
      </c>
      <c r="G60" s="271"/>
      <c r="H60" s="536"/>
      <c r="I60" s="533" t="s">
        <v>1531</v>
      </c>
      <c r="J60" s="529" t="s">
        <v>1532</v>
      </c>
      <c r="K60" s="529" t="s">
        <v>1538</v>
      </c>
      <c r="L60" s="529" t="s">
        <v>1486</v>
      </c>
      <c r="M60" s="529" t="s">
        <v>125</v>
      </c>
      <c r="N60" s="529" t="s">
        <v>1488</v>
      </c>
      <c r="O60" s="529" t="s">
        <v>125</v>
      </c>
      <c r="P60" s="531">
        <v>45323</v>
      </c>
      <c r="Q60" s="531">
        <v>45626</v>
      </c>
      <c r="R60" s="15" t="s">
        <v>68</v>
      </c>
      <c r="S60" s="16">
        <f>+(S61*T60)</f>
        <v>4.9019607843137254E-3</v>
      </c>
      <c r="T60" s="17">
        <f t="shared" si="1"/>
        <v>0.25</v>
      </c>
      <c r="U60" s="22">
        <v>8.3333333333333343E-2</v>
      </c>
      <c r="V60" s="22">
        <v>8.3333333333333343E-2</v>
      </c>
      <c r="W60" s="22">
        <v>8.3333333333333343E-2</v>
      </c>
      <c r="X60" s="25"/>
      <c r="Y60" s="25"/>
      <c r="Z60" s="25"/>
      <c r="AA60" s="25"/>
      <c r="AB60" s="25"/>
      <c r="AC60" s="25"/>
      <c r="AD60" s="25"/>
      <c r="AE60" s="25"/>
      <c r="AF60" s="25"/>
      <c r="AG60" s="25"/>
      <c r="AH60" s="523" t="s">
        <v>1539</v>
      </c>
      <c r="AI60" s="523"/>
      <c r="AJ60" s="523"/>
      <c r="AK60" s="518"/>
    </row>
    <row r="61" spans="1:37" ht="37.4" customHeight="1" thickBot="1" x14ac:dyDescent="0.4">
      <c r="A61" s="263"/>
      <c r="B61" s="263"/>
      <c r="C61" s="263"/>
      <c r="D61" s="263"/>
      <c r="E61" s="263"/>
      <c r="F61" s="272"/>
      <c r="G61" s="271"/>
      <c r="H61" s="536"/>
      <c r="I61" s="534"/>
      <c r="J61" s="530"/>
      <c r="K61" s="530"/>
      <c r="L61" s="530"/>
      <c r="M61" s="530"/>
      <c r="N61" s="530"/>
      <c r="O61" s="530"/>
      <c r="P61" s="532"/>
      <c r="Q61" s="532"/>
      <c r="R61" s="15" t="s">
        <v>69</v>
      </c>
      <c r="S61" s="21">
        <f>100%/51</f>
        <v>1.9607843137254902E-2</v>
      </c>
      <c r="T61" s="17">
        <f t="shared" si="1"/>
        <v>1.0000000000000002</v>
      </c>
      <c r="U61" s="22">
        <v>8.3333333333333343E-2</v>
      </c>
      <c r="V61" s="22">
        <v>8.3333333333333343E-2</v>
      </c>
      <c r="W61" s="22">
        <v>8.3333333333333343E-2</v>
      </c>
      <c r="X61" s="22">
        <v>8.3333333333333343E-2</v>
      </c>
      <c r="Y61" s="22">
        <v>8.3333333333333343E-2</v>
      </c>
      <c r="Z61" s="22">
        <v>8.3333333333333343E-2</v>
      </c>
      <c r="AA61" s="22">
        <v>8.3333333333333343E-2</v>
      </c>
      <c r="AB61" s="22">
        <v>8.3333333333333343E-2</v>
      </c>
      <c r="AC61" s="22">
        <v>8.3333333333333343E-2</v>
      </c>
      <c r="AD61" s="22">
        <v>8.3333333333333343E-2</v>
      </c>
      <c r="AE61" s="22">
        <v>8.3333333333333343E-2</v>
      </c>
      <c r="AF61" s="22">
        <v>8.3333333333333343E-2</v>
      </c>
      <c r="AG61" s="22"/>
      <c r="AH61" s="524"/>
      <c r="AI61" s="524"/>
      <c r="AJ61" s="524"/>
      <c r="AK61" s="519"/>
    </row>
    <row r="62" spans="1:37" ht="37.4" customHeight="1" thickBot="1" x14ac:dyDescent="0.4">
      <c r="A62" s="262">
        <v>25</v>
      </c>
      <c r="B62" s="262" t="s">
        <v>70</v>
      </c>
      <c r="C62" s="262" t="s">
        <v>89</v>
      </c>
      <c r="D62" s="262" t="s">
        <v>90</v>
      </c>
      <c r="E62" s="262" t="s">
        <v>91</v>
      </c>
      <c r="F62" s="272" t="s">
        <v>1389</v>
      </c>
      <c r="G62" s="271"/>
      <c r="H62" s="536"/>
      <c r="I62" s="533" t="s">
        <v>1531</v>
      </c>
      <c r="J62" s="529" t="s">
        <v>1540</v>
      </c>
      <c r="K62" s="529" t="s">
        <v>1541</v>
      </c>
      <c r="L62" s="529" t="s">
        <v>1486</v>
      </c>
      <c r="M62" s="529" t="s">
        <v>1487</v>
      </c>
      <c r="N62" s="529" t="s">
        <v>1488</v>
      </c>
      <c r="O62" s="529" t="s">
        <v>1487</v>
      </c>
      <c r="P62" s="531">
        <v>45352</v>
      </c>
      <c r="Q62" s="531">
        <v>45442</v>
      </c>
      <c r="R62" s="15" t="s">
        <v>68</v>
      </c>
      <c r="S62" s="16">
        <f>+(S63*T62)</f>
        <v>0</v>
      </c>
      <c r="T62" s="17">
        <f t="shared" si="1"/>
        <v>0</v>
      </c>
      <c r="U62" s="25"/>
      <c r="W62" s="25"/>
      <c r="X62" s="25"/>
      <c r="Y62" s="25"/>
      <c r="Z62" s="25"/>
      <c r="AA62" s="25"/>
      <c r="AB62" s="25"/>
      <c r="AC62" s="25"/>
      <c r="AD62" s="25"/>
      <c r="AE62" s="25"/>
      <c r="AF62" s="25"/>
      <c r="AG62" s="25"/>
      <c r="AH62" s="376" t="s">
        <v>225</v>
      </c>
      <c r="AI62" s="376" t="s">
        <v>225</v>
      </c>
      <c r="AJ62" s="376" t="s">
        <v>225</v>
      </c>
      <c r="AK62" s="518"/>
    </row>
    <row r="63" spans="1:37" ht="37.4" customHeight="1" thickBot="1" x14ac:dyDescent="0.4">
      <c r="A63" s="263"/>
      <c r="B63" s="263"/>
      <c r="C63" s="263"/>
      <c r="D63" s="263"/>
      <c r="E63" s="263"/>
      <c r="F63" s="272"/>
      <c r="G63" s="271"/>
      <c r="H63" s="536"/>
      <c r="I63" s="534"/>
      <c r="J63" s="530"/>
      <c r="K63" s="530"/>
      <c r="L63" s="530"/>
      <c r="M63" s="530"/>
      <c r="N63" s="530"/>
      <c r="O63" s="530"/>
      <c r="P63" s="532"/>
      <c r="Q63" s="532"/>
      <c r="R63" s="15" t="s">
        <v>69</v>
      </c>
      <c r="S63" s="21">
        <f>100%/51</f>
        <v>1.9607843137254902E-2</v>
      </c>
      <c r="T63" s="17">
        <f t="shared" si="1"/>
        <v>1</v>
      </c>
      <c r="U63" s="22"/>
      <c r="V63" s="22"/>
      <c r="W63" s="22"/>
      <c r="X63" s="22"/>
      <c r="Y63" s="22"/>
      <c r="Z63" s="22"/>
      <c r="AA63" s="22"/>
      <c r="AB63" s="22"/>
      <c r="AC63" s="22"/>
      <c r="AD63" s="22"/>
      <c r="AE63" s="22"/>
      <c r="AF63" s="22">
        <v>1</v>
      </c>
      <c r="AG63" s="22"/>
      <c r="AH63" s="377"/>
      <c r="AI63" s="377"/>
      <c r="AJ63" s="377"/>
      <c r="AK63" s="519"/>
    </row>
    <row r="64" spans="1:37" ht="37.4" customHeight="1" thickBot="1" x14ac:dyDescent="0.4">
      <c r="A64" s="262">
        <v>26</v>
      </c>
      <c r="B64" s="262" t="s">
        <v>70</v>
      </c>
      <c r="C64" s="262" t="s">
        <v>89</v>
      </c>
      <c r="D64" s="262" t="s">
        <v>90</v>
      </c>
      <c r="E64" s="262" t="s">
        <v>91</v>
      </c>
      <c r="F64" s="272" t="s">
        <v>1389</v>
      </c>
      <c r="G64" s="271"/>
      <c r="H64" s="536"/>
      <c r="I64" s="533" t="s">
        <v>1531</v>
      </c>
      <c r="J64" s="529" t="s">
        <v>1540</v>
      </c>
      <c r="K64" s="529" t="s">
        <v>1542</v>
      </c>
      <c r="L64" s="529" t="s">
        <v>1486</v>
      </c>
      <c r="M64" s="529" t="s">
        <v>125</v>
      </c>
      <c r="N64" s="529" t="s">
        <v>1488</v>
      </c>
      <c r="O64" s="529" t="s">
        <v>125</v>
      </c>
      <c r="P64" s="531">
        <v>45444</v>
      </c>
      <c r="Q64" s="531">
        <v>45534</v>
      </c>
      <c r="R64" s="15" t="s">
        <v>68</v>
      </c>
      <c r="S64" s="16">
        <f>+(S65*T64)</f>
        <v>4.9019607843137254E-3</v>
      </c>
      <c r="T64" s="17">
        <f t="shared" si="1"/>
        <v>0.25</v>
      </c>
      <c r="U64" s="22">
        <v>8.3333333333333343E-2</v>
      </c>
      <c r="V64" s="22">
        <v>8.3333333333333343E-2</v>
      </c>
      <c r="W64" s="22">
        <v>8.3333333333333343E-2</v>
      </c>
      <c r="X64" s="25"/>
      <c r="Y64" s="25"/>
      <c r="Z64" s="25"/>
      <c r="AA64" s="25"/>
      <c r="AB64" s="25"/>
      <c r="AC64" s="25"/>
      <c r="AD64" s="25"/>
      <c r="AE64" s="25"/>
      <c r="AF64" s="25"/>
      <c r="AG64" s="25"/>
      <c r="AH64" s="523" t="s">
        <v>1543</v>
      </c>
      <c r="AI64" s="526"/>
      <c r="AJ64" s="518"/>
      <c r="AK64" s="518"/>
    </row>
    <row r="65" spans="1:37" ht="37.4" customHeight="1" thickBot="1" x14ac:dyDescent="0.4">
      <c r="A65" s="263"/>
      <c r="B65" s="271"/>
      <c r="C65" s="271"/>
      <c r="D65" s="271"/>
      <c r="E65" s="271"/>
      <c r="F65" s="272"/>
      <c r="G65" s="271"/>
      <c r="H65" s="536"/>
      <c r="I65" s="534"/>
      <c r="J65" s="530"/>
      <c r="K65" s="530"/>
      <c r="L65" s="530"/>
      <c r="M65" s="530"/>
      <c r="N65" s="530"/>
      <c r="O65" s="530"/>
      <c r="P65" s="532"/>
      <c r="Q65" s="532"/>
      <c r="R65" s="15" t="s">
        <v>69</v>
      </c>
      <c r="S65" s="21">
        <f>100%/51</f>
        <v>1.9607843137254902E-2</v>
      </c>
      <c r="T65" s="17">
        <f t="shared" si="1"/>
        <v>1.0000000000000002</v>
      </c>
      <c r="U65" s="22">
        <v>8.3333333333333343E-2</v>
      </c>
      <c r="V65" s="22">
        <v>8.3333333333333343E-2</v>
      </c>
      <c r="W65" s="22">
        <v>8.3333333333333343E-2</v>
      </c>
      <c r="X65" s="22">
        <v>8.3333333333333343E-2</v>
      </c>
      <c r="Y65" s="22">
        <v>8.3333333333333343E-2</v>
      </c>
      <c r="Z65" s="22">
        <v>8.3333333333333343E-2</v>
      </c>
      <c r="AA65" s="22">
        <v>8.3333333333333343E-2</v>
      </c>
      <c r="AB65" s="22">
        <v>8.3333333333333343E-2</v>
      </c>
      <c r="AC65" s="22">
        <v>8.3333333333333343E-2</v>
      </c>
      <c r="AD65" s="22">
        <v>8.3333333333333343E-2</v>
      </c>
      <c r="AE65" s="22">
        <v>8.3333333333333343E-2</v>
      </c>
      <c r="AF65" s="22">
        <v>8.3333333333333343E-2</v>
      </c>
      <c r="AG65" s="22"/>
      <c r="AH65" s="524"/>
      <c r="AI65" s="527"/>
      <c r="AJ65" s="519"/>
      <c r="AK65" s="519"/>
    </row>
    <row r="66" spans="1:37" ht="37.4" customHeight="1" x14ac:dyDescent="0.35">
      <c r="A66" s="262">
        <v>27</v>
      </c>
      <c r="B66" s="262" t="s">
        <v>70</v>
      </c>
      <c r="C66" s="262" t="s">
        <v>89</v>
      </c>
      <c r="D66" s="262" t="s">
        <v>90</v>
      </c>
      <c r="E66" s="262" t="s">
        <v>91</v>
      </c>
      <c r="F66" s="272" t="s">
        <v>1389</v>
      </c>
      <c r="G66" s="271"/>
      <c r="H66" s="536"/>
      <c r="I66" s="533" t="s">
        <v>1531</v>
      </c>
      <c r="J66" s="529" t="s">
        <v>1540</v>
      </c>
      <c r="K66" s="529" t="s">
        <v>1544</v>
      </c>
      <c r="L66" s="529" t="s">
        <v>1486</v>
      </c>
      <c r="M66" s="529" t="s">
        <v>125</v>
      </c>
      <c r="N66" s="529" t="s">
        <v>1488</v>
      </c>
      <c r="O66" s="529" t="s">
        <v>125</v>
      </c>
      <c r="P66" s="531">
        <v>45444</v>
      </c>
      <c r="Q66" s="531">
        <v>45534</v>
      </c>
      <c r="R66" s="15" t="s">
        <v>68</v>
      </c>
      <c r="S66" s="16">
        <f>+(S67*T66)</f>
        <v>4.9019607843137254E-3</v>
      </c>
      <c r="T66" s="17">
        <f t="shared" si="1"/>
        <v>0.25</v>
      </c>
      <c r="U66" s="22">
        <v>8.3333333333333343E-2</v>
      </c>
      <c r="V66" s="22">
        <v>8.3333333333333343E-2</v>
      </c>
      <c r="W66" s="22">
        <v>8.3333333333333343E-2</v>
      </c>
      <c r="X66" s="25"/>
      <c r="Y66" s="25"/>
      <c r="Z66" s="25"/>
      <c r="AA66" s="25"/>
      <c r="AB66" s="25"/>
      <c r="AC66" s="25"/>
      <c r="AD66" s="25"/>
      <c r="AE66" s="25"/>
      <c r="AF66" s="25"/>
      <c r="AG66" s="25"/>
      <c r="AH66" s="523" t="s">
        <v>1545</v>
      </c>
      <c r="AI66" s="526"/>
      <c r="AJ66" s="518"/>
      <c r="AK66" s="518"/>
    </row>
    <row r="67" spans="1:37" ht="37.4" customHeight="1" thickBot="1" x14ac:dyDescent="0.4">
      <c r="A67" s="263"/>
      <c r="B67" s="271"/>
      <c r="C67" s="271"/>
      <c r="D67" s="271"/>
      <c r="E67" s="271"/>
      <c r="F67" s="272"/>
      <c r="G67" s="271"/>
      <c r="H67" s="536"/>
      <c r="I67" s="534"/>
      <c r="J67" s="530"/>
      <c r="K67" s="530"/>
      <c r="L67" s="530"/>
      <c r="M67" s="530"/>
      <c r="N67" s="530"/>
      <c r="O67" s="530"/>
      <c r="P67" s="532"/>
      <c r="Q67" s="532"/>
      <c r="R67" s="15" t="s">
        <v>69</v>
      </c>
      <c r="S67" s="21">
        <f>100%/51</f>
        <v>1.9607843137254902E-2</v>
      </c>
      <c r="T67" s="17">
        <f t="shared" si="1"/>
        <v>1.0000000000000002</v>
      </c>
      <c r="U67" s="22">
        <v>8.3333333333333343E-2</v>
      </c>
      <c r="V67" s="22">
        <v>8.3333333333333343E-2</v>
      </c>
      <c r="W67" s="22">
        <v>8.3333333333333343E-2</v>
      </c>
      <c r="X67" s="22">
        <v>8.3333333333333343E-2</v>
      </c>
      <c r="Y67" s="22">
        <v>8.3333333333333343E-2</v>
      </c>
      <c r="Z67" s="22">
        <v>8.3333333333333343E-2</v>
      </c>
      <c r="AA67" s="22">
        <v>8.3333333333333343E-2</v>
      </c>
      <c r="AB67" s="22">
        <v>8.3333333333333343E-2</v>
      </c>
      <c r="AC67" s="22">
        <v>8.3333333333333343E-2</v>
      </c>
      <c r="AD67" s="22">
        <v>8.3333333333333343E-2</v>
      </c>
      <c r="AE67" s="22">
        <v>8.3333333333333343E-2</v>
      </c>
      <c r="AF67" s="22">
        <v>8.3333333333333343E-2</v>
      </c>
      <c r="AG67" s="22"/>
      <c r="AH67" s="524"/>
      <c r="AI67" s="527"/>
      <c r="AJ67" s="519"/>
      <c r="AK67" s="519"/>
    </row>
    <row r="68" spans="1:37" ht="37.4" customHeight="1" thickBot="1" x14ac:dyDescent="0.4">
      <c r="A68" s="262">
        <v>28</v>
      </c>
      <c r="B68" s="262" t="s">
        <v>70</v>
      </c>
      <c r="C68" s="262" t="s">
        <v>89</v>
      </c>
      <c r="D68" s="262" t="s">
        <v>90</v>
      </c>
      <c r="E68" s="262" t="s">
        <v>91</v>
      </c>
      <c r="F68" s="272" t="s">
        <v>1389</v>
      </c>
      <c r="G68" s="271"/>
      <c r="H68" s="536"/>
      <c r="I68" s="533" t="s">
        <v>1531</v>
      </c>
      <c r="J68" s="529" t="s">
        <v>1546</v>
      </c>
      <c r="K68" s="529" t="s">
        <v>1547</v>
      </c>
      <c r="L68" s="529" t="s">
        <v>1486</v>
      </c>
      <c r="M68" s="529" t="s">
        <v>1523</v>
      </c>
      <c r="N68" s="529" t="s">
        <v>1488</v>
      </c>
      <c r="O68" s="529" t="s">
        <v>1523</v>
      </c>
      <c r="P68" s="531">
        <v>45323</v>
      </c>
      <c r="Q68" s="531">
        <v>45626</v>
      </c>
      <c r="R68" s="15" t="s">
        <v>68</v>
      </c>
      <c r="S68" s="16">
        <f>+(S69*T68)</f>
        <v>4.9019607843137254E-3</v>
      </c>
      <c r="T68" s="17">
        <f t="shared" si="1"/>
        <v>0.25</v>
      </c>
      <c r="U68" s="25"/>
      <c r="V68" s="25"/>
      <c r="W68" s="25">
        <v>0.25</v>
      </c>
      <c r="X68" s="25"/>
      <c r="Y68" s="25"/>
      <c r="Z68" s="25"/>
      <c r="AA68" s="25"/>
      <c r="AB68" s="25"/>
      <c r="AC68" s="25"/>
      <c r="AD68" s="25"/>
      <c r="AE68" s="25"/>
      <c r="AF68" s="25"/>
      <c r="AG68" s="25"/>
      <c r="AH68" s="523" t="s">
        <v>1548</v>
      </c>
      <c r="AI68" s="523"/>
      <c r="AJ68" s="523"/>
      <c r="AK68" s="523"/>
    </row>
    <row r="69" spans="1:37" ht="37.4" customHeight="1" thickBot="1" x14ac:dyDescent="0.4">
      <c r="A69" s="263"/>
      <c r="B69" s="271"/>
      <c r="C69" s="271"/>
      <c r="D69" s="271"/>
      <c r="E69" s="271"/>
      <c r="F69" s="272"/>
      <c r="G69" s="271"/>
      <c r="H69" s="536"/>
      <c r="I69" s="534"/>
      <c r="J69" s="530"/>
      <c r="K69" s="530"/>
      <c r="L69" s="530"/>
      <c r="M69" s="530"/>
      <c r="N69" s="530"/>
      <c r="O69" s="530"/>
      <c r="P69" s="532"/>
      <c r="Q69" s="532"/>
      <c r="R69" s="15" t="s">
        <v>69</v>
      </c>
      <c r="S69" s="21">
        <f>100%/51</f>
        <v>1.9607843137254902E-2</v>
      </c>
      <c r="T69" s="17">
        <f t="shared" si="1"/>
        <v>1</v>
      </c>
      <c r="U69" s="22"/>
      <c r="V69" s="22"/>
      <c r="W69" s="22">
        <v>0.25</v>
      </c>
      <c r="X69" s="22"/>
      <c r="Y69" s="22"/>
      <c r="Z69" s="22">
        <v>0.25</v>
      </c>
      <c r="AA69" s="22"/>
      <c r="AB69" s="22"/>
      <c r="AC69" s="22">
        <v>0.25</v>
      </c>
      <c r="AD69" s="22"/>
      <c r="AE69" s="22"/>
      <c r="AF69" s="22">
        <v>0.25</v>
      </c>
      <c r="AG69" s="22"/>
      <c r="AH69" s="524"/>
      <c r="AI69" s="524"/>
      <c r="AJ69" s="524"/>
      <c r="AK69" s="524"/>
    </row>
    <row r="70" spans="1:37" ht="37.4" customHeight="1" thickBot="1" x14ac:dyDescent="0.4">
      <c r="A70" s="262">
        <v>29</v>
      </c>
      <c r="B70" s="262" t="s">
        <v>70</v>
      </c>
      <c r="C70" s="262" t="s">
        <v>89</v>
      </c>
      <c r="D70" s="262" t="s">
        <v>90</v>
      </c>
      <c r="E70" s="262" t="s">
        <v>91</v>
      </c>
      <c r="F70" s="272" t="s">
        <v>1389</v>
      </c>
      <c r="G70" s="271"/>
      <c r="H70" s="536"/>
      <c r="I70" s="533" t="s">
        <v>1531</v>
      </c>
      <c r="J70" s="529" t="s">
        <v>1549</v>
      </c>
      <c r="K70" s="529" t="s">
        <v>1550</v>
      </c>
      <c r="L70" s="529" t="s">
        <v>1486</v>
      </c>
      <c r="M70" s="529" t="s">
        <v>1487</v>
      </c>
      <c r="N70" s="529" t="s">
        <v>1488</v>
      </c>
      <c r="O70" s="529" t="s">
        <v>1487</v>
      </c>
      <c r="P70" s="531">
        <v>45352</v>
      </c>
      <c r="Q70" s="531">
        <v>45442</v>
      </c>
      <c r="R70" s="15" t="s">
        <v>68</v>
      </c>
      <c r="S70" s="16">
        <f>+(S71*T70)</f>
        <v>0</v>
      </c>
      <c r="T70" s="17">
        <f t="shared" si="1"/>
        <v>0</v>
      </c>
      <c r="U70" s="22"/>
      <c r="V70" s="22"/>
      <c r="W70" s="22"/>
      <c r="X70" s="22"/>
      <c r="Y70" s="22"/>
      <c r="Z70" s="22"/>
      <c r="AA70" s="22"/>
      <c r="AB70" s="25"/>
      <c r="AC70" s="25"/>
      <c r="AD70" s="25"/>
      <c r="AE70" s="25"/>
      <c r="AF70" s="25"/>
      <c r="AG70" s="25"/>
      <c r="AH70" s="376" t="s">
        <v>225</v>
      </c>
      <c r="AI70" s="376" t="s">
        <v>225</v>
      </c>
      <c r="AJ70" s="376" t="s">
        <v>225</v>
      </c>
      <c r="AK70" s="523"/>
    </row>
    <row r="71" spans="1:37" ht="37.4" customHeight="1" thickBot="1" x14ac:dyDescent="0.4">
      <c r="A71" s="263"/>
      <c r="B71" s="271"/>
      <c r="C71" s="271"/>
      <c r="D71" s="271"/>
      <c r="E71" s="271"/>
      <c r="F71" s="272"/>
      <c r="G71" s="271"/>
      <c r="H71" s="536"/>
      <c r="I71" s="534"/>
      <c r="J71" s="530"/>
      <c r="K71" s="530"/>
      <c r="L71" s="530"/>
      <c r="M71" s="530"/>
      <c r="N71" s="530"/>
      <c r="O71" s="530"/>
      <c r="P71" s="532"/>
      <c r="Q71" s="532"/>
      <c r="R71" s="15" t="s">
        <v>69</v>
      </c>
      <c r="S71" s="21">
        <f>100%/51</f>
        <v>1.9607843137254902E-2</v>
      </c>
      <c r="T71" s="17">
        <f t="shared" si="1"/>
        <v>1</v>
      </c>
      <c r="U71" s="22"/>
      <c r="V71" s="22"/>
      <c r="W71" s="22"/>
      <c r="X71" s="22"/>
      <c r="Y71" s="22"/>
      <c r="Z71" s="22"/>
      <c r="AA71" s="22"/>
      <c r="AB71" s="22"/>
      <c r="AC71" s="22"/>
      <c r="AD71" s="22"/>
      <c r="AE71" s="22"/>
      <c r="AF71" s="22">
        <v>1</v>
      </c>
      <c r="AG71" s="22"/>
      <c r="AH71" s="377"/>
      <c r="AI71" s="377"/>
      <c r="AJ71" s="377"/>
      <c r="AK71" s="524"/>
    </row>
    <row r="72" spans="1:37" ht="37.4" customHeight="1" thickBot="1" x14ac:dyDescent="0.4">
      <c r="A72" s="262">
        <v>30</v>
      </c>
      <c r="B72" s="262" t="s">
        <v>70</v>
      </c>
      <c r="C72" s="262" t="s">
        <v>89</v>
      </c>
      <c r="D72" s="262" t="s">
        <v>90</v>
      </c>
      <c r="E72" s="262" t="s">
        <v>91</v>
      </c>
      <c r="F72" s="272" t="s">
        <v>1389</v>
      </c>
      <c r="G72" s="271"/>
      <c r="H72" s="536"/>
      <c r="I72" s="533" t="s">
        <v>1531</v>
      </c>
      <c r="J72" s="529" t="s">
        <v>1549</v>
      </c>
      <c r="K72" s="529" t="s">
        <v>1551</v>
      </c>
      <c r="L72" s="529" t="s">
        <v>1486</v>
      </c>
      <c r="M72" s="529" t="s">
        <v>1487</v>
      </c>
      <c r="N72" s="529" t="s">
        <v>1488</v>
      </c>
      <c r="O72" s="529" t="s">
        <v>1487</v>
      </c>
      <c r="P72" s="531">
        <v>45444</v>
      </c>
      <c r="Q72" s="531">
        <v>45565</v>
      </c>
      <c r="R72" s="15" t="s">
        <v>68</v>
      </c>
      <c r="S72" s="16">
        <f>+(S73*T72)</f>
        <v>4.9019607843137254E-3</v>
      </c>
      <c r="T72" s="17">
        <f t="shared" si="1"/>
        <v>0.25</v>
      </c>
      <c r="U72" s="25"/>
      <c r="V72" s="25"/>
      <c r="W72" s="25">
        <v>0.25</v>
      </c>
      <c r="X72" s="25"/>
      <c r="Y72" s="25"/>
      <c r="AA72" s="25"/>
      <c r="AB72" s="25"/>
      <c r="AC72" s="25"/>
      <c r="AD72" s="25"/>
      <c r="AE72" s="25"/>
      <c r="AF72" s="25"/>
      <c r="AG72" s="25"/>
      <c r="AH72" s="523" t="s">
        <v>1552</v>
      </c>
      <c r="AI72" s="523"/>
      <c r="AJ72" s="523"/>
      <c r="AK72" s="518"/>
    </row>
    <row r="73" spans="1:37" ht="37.4" customHeight="1" thickBot="1" x14ac:dyDescent="0.4">
      <c r="A73" s="263"/>
      <c r="B73" s="271"/>
      <c r="C73" s="271"/>
      <c r="D73" s="271"/>
      <c r="E73" s="271"/>
      <c r="F73" s="272"/>
      <c r="G73" s="271"/>
      <c r="H73" s="536"/>
      <c r="I73" s="534"/>
      <c r="J73" s="530"/>
      <c r="K73" s="530"/>
      <c r="L73" s="530"/>
      <c r="M73" s="530"/>
      <c r="N73" s="530"/>
      <c r="O73" s="530"/>
      <c r="P73" s="532"/>
      <c r="Q73" s="532"/>
      <c r="R73" s="15" t="s">
        <v>69</v>
      </c>
      <c r="S73" s="21">
        <f>100%/51</f>
        <v>1.9607843137254902E-2</v>
      </c>
      <c r="T73" s="17">
        <f t="shared" si="1"/>
        <v>1</v>
      </c>
      <c r="U73" s="22"/>
      <c r="V73" s="22"/>
      <c r="W73" s="22">
        <v>0.25</v>
      </c>
      <c r="X73" s="22"/>
      <c r="Y73" s="22"/>
      <c r="Z73" s="22">
        <v>0.25</v>
      </c>
      <c r="AA73" s="22"/>
      <c r="AB73" s="22"/>
      <c r="AC73" s="22">
        <v>0.25</v>
      </c>
      <c r="AD73" s="22"/>
      <c r="AE73" s="22"/>
      <c r="AF73" s="22">
        <v>0.25</v>
      </c>
      <c r="AG73" s="22"/>
      <c r="AH73" s="524"/>
      <c r="AI73" s="524"/>
      <c r="AJ73" s="524"/>
      <c r="AK73" s="519"/>
    </row>
    <row r="74" spans="1:37" ht="37.4" customHeight="1" thickBot="1" x14ac:dyDescent="0.4">
      <c r="A74" s="262">
        <v>31</v>
      </c>
      <c r="B74" s="262" t="s">
        <v>70</v>
      </c>
      <c r="C74" s="262" t="s">
        <v>89</v>
      </c>
      <c r="D74" s="262" t="s">
        <v>90</v>
      </c>
      <c r="E74" s="262" t="s">
        <v>91</v>
      </c>
      <c r="F74" s="272" t="s">
        <v>1389</v>
      </c>
      <c r="G74" s="271"/>
      <c r="H74" s="536"/>
      <c r="I74" s="533" t="s">
        <v>1531</v>
      </c>
      <c r="J74" s="529" t="s">
        <v>1549</v>
      </c>
      <c r="K74" s="529" t="s">
        <v>1553</v>
      </c>
      <c r="L74" s="529" t="s">
        <v>1486</v>
      </c>
      <c r="M74" s="529" t="s">
        <v>1487</v>
      </c>
      <c r="N74" s="529" t="s">
        <v>1488</v>
      </c>
      <c r="O74" s="529" t="s">
        <v>1487</v>
      </c>
      <c r="P74" s="531">
        <v>45536</v>
      </c>
      <c r="Q74" s="531">
        <v>45565</v>
      </c>
      <c r="R74" s="15" t="s">
        <v>68</v>
      </c>
      <c r="S74" s="16">
        <f>+(S75*T74)</f>
        <v>0</v>
      </c>
      <c r="T74" s="17">
        <f t="shared" si="1"/>
        <v>0</v>
      </c>
      <c r="U74" s="22"/>
      <c r="V74" s="22"/>
      <c r="W74" s="22"/>
      <c r="X74" s="22"/>
      <c r="Y74" s="22"/>
      <c r="Z74" s="22"/>
      <c r="AA74" s="22"/>
      <c r="AB74" s="25"/>
      <c r="AC74" s="25"/>
      <c r="AD74" s="25"/>
      <c r="AE74" s="25"/>
      <c r="AF74" s="25"/>
      <c r="AG74" s="25"/>
      <c r="AH74" s="376" t="s">
        <v>225</v>
      </c>
      <c r="AI74" s="376" t="s">
        <v>225</v>
      </c>
      <c r="AJ74" s="376" t="s">
        <v>225</v>
      </c>
      <c r="AK74" s="518"/>
    </row>
    <row r="75" spans="1:37" ht="37.4" customHeight="1" thickBot="1" x14ac:dyDescent="0.4">
      <c r="A75" s="263"/>
      <c r="B75" s="271"/>
      <c r="C75" s="271"/>
      <c r="D75" s="271"/>
      <c r="E75" s="271"/>
      <c r="F75" s="272"/>
      <c r="G75" s="271"/>
      <c r="H75" s="536"/>
      <c r="I75" s="534"/>
      <c r="J75" s="530"/>
      <c r="K75" s="530"/>
      <c r="L75" s="530"/>
      <c r="M75" s="530"/>
      <c r="N75" s="530"/>
      <c r="O75" s="530"/>
      <c r="P75" s="532"/>
      <c r="Q75" s="532"/>
      <c r="R75" s="15" t="s">
        <v>69</v>
      </c>
      <c r="S75" s="21">
        <f>100%/51</f>
        <v>1.9607843137254902E-2</v>
      </c>
      <c r="T75" s="17">
        <f t="shared" si="1"/>
        <v>1</v>
      </c>
      <c r="U75" s="22"/>
      <c r="V75" s="22"/>
      <c r="W75" s="22"/>
      <c r="X75" s="22"/>
      <c r="Y75" s="22"/>
      <c r="Z75" s="22"/>
      <c r="AA75" s="22"/>
      <c r="AB75" s="22"/>
      <c r="AC75" s="22"/>
      <c r="AD75" s="22"/>
      <c r="AE75" s="22"/>
      <c r="AF75" s="22">
        <v>1</v>
      </c>
      <c r="AG75" s="22"/>
      <c r="AH75" s="377"/>
      <c r="AI75" s="377"/>
      <c r="AJ75" s="377"/>
      <c r="AK75" s="519"/>
    </row>
    <row r="76" spans="1:37" ht="37.4" customHeight="1" thickBot="1" x14ac:dyDescent="0.4">
      <c r="A76" s="262">
        <v>32</v>
      </c>
      <c r="B76" s="262" t="s">
        <v>70</v>
      </c>
      <c r="C76" s="262" t="s">
        <v>89</v>
      </c>
      <c r="D76" s="262" t="s">
        <v>90</v>
      </c>
      <c r="E76" s="262" t="s">
        <v>91</v>
      </c>
      <c r="F76" s="272" t="s">
        <v>1389</v>
      </c>
      <c r="G76" s="271"/>
      <c r="H76" s="536"/>
      <c r="I76" s="533" t="s">
        <v>1531</v>
      </c>
      <c r="J76" s="529" t="s">
        <v>1554</v>
      </c>
      <c r="K76" s="529" t="s">
        <v>1555</v>
      </c>
      <c r="L76" s="529" t="s">
        <v>1486</v>
      </c>
      <c r="M76" s="529" t="s">
        <v>1487</v>
      </c>
      <c r="N76" s="529" t="s">
        <v>1488</v>
      </c>
      <c r="O76" s="529" t="s">
        <v>1487</v>
      </c>
      <c r="P76" s="531">
        <v>45413</v>
      </c>
      <c r="Q76" s="531">
        <v>45473</v>
      </c>
      <c r="R76" s="15" t="s">
        <v>68</v>
      </c>
      <c r="S76" s="16">
        <f>+(S77*T76)</f>
        <v>0</v>
      </c>
      <c r="T76" s="17">
        <f t="shared" si="1"/>
        <v>0</v>
      </c>
      <c r="U76" s="25"/>
      <c r="V76" s="25"/>
      <c r="W76" s="25"/>
      <c r="X76" s="25"/>
      <c r="Y76" s="25"/>
      <c r="Z76" s="25"/>
      <c r="AA76" s="25"/>
      <c r="AB76" s="25"/>
      <c r="AC76" s="25"/>
      <c r="AD76" s="25"/>
      <c r="AE76" s="25"/>
      <c r="AF76" s="25"/>
      <c r="AG76" s="25"/>
      <c r="AH76" s="376" t="s">
        <v>225</v>
      </c>
      <c r="AI76" s="376" t="s">
        <v>225</v>
      </c>
      <c r="AJ76" s="376" t="s">
        <v>225</v>
      </c>
      <c r="AK76" s="518"/>
    </row>
    <row r="77" spans="1:37" ht="37.4" customHeight="1" thickBot="1" x14ac:dyDescent="0.4">
      <c r="A77" s="263"/>
      <c r="B77" s="271"/>
      <c r="C77" s="271"/>
      <c r="D77" s="271"/>
      <c r="E77" s="271"/>
      <c r="F77" s="272"/>
      <c r="G77" s="271"/>
      <c r="H77" s="536"/>
      <c r="I77" s="534"/>
      <c r="J77" s="530"/>
      <c r="K77" s="530"/>
      <c r="L77" s="530"/>
      <c r="M77" s="530"/>
      <c r="N77" s="530"/>
      <c r="O77" s="530"/>
      <c r="P77" s="532"/>
      <c r="Q77" s="532"/>
      <c r="R77" s="15" t="s">
        <v>69</v>
      </c>
      <c r="S77" s="21">
        <f>100%/51</f>
        <v>1.9607843137254902E-2</v>
      </c>
      <c r="T77" s="17">
        <f t="shared" si="1"/>
        <v>1</v>
      </c>
      <c r="U77" s="22"/>
      <c r="V77" s="22"/>
      <c r="W77" s="22"/>
      <c r="X77" s="22"/>
      <c r="Y77" s="22"/>
      <c r="Z77" s="22"/>
      <c r="AA77" s="22"/>
      <c r="AB77" s="22"/>
      <c r="AC77" s="22"/>
      <c r="AD77" s="22"/>
      <c r="AE77" s="22"/>
      <c r="AF77" s="22">
        <v>1</v>
      </c>
      <c r="AG77" s="22"/>
      <c r="AH77" s="377"/>
      <c r="AI77" s="377"/>
      <c r="AJ77" s="377"/>
      <c r="AK77" s="519"/>
    </row>
    <row r="78" spans="1:37" ht="37.4" customHeight="1" thickBot="1" x14ac:dyDescent="0.4">
      <c r="A78" s="262">
        <v>33</v>
      </c>
      <c r="B78" s="262" t="s">
        <v>70</v>
      </c>
      <c r="C78" s="262" t="s">
        <v>89</v>
      </c>
      <c r="D78" s="262" t="s">
        <v>90</v>
      </c>
      <c r="E78" s="262" t="s">
        <v>91</v>
      </c>
      <c r="F78" s="272" t="s">
        <v>1389</v>
      </c>
      <c r="G78" s="271"/>
      <c r="H78" s="536"/>
      <c r="I78" s="533" t="s">
        <v>1531</v>
      </c>
      <c r="J78" s="529" t="s">
        <v>1556</v>
      </c>
      <c r="K78" s="529" t="s">
        <v>1557</v>
      </c>
      <c r="L78" s="529" t="s">
        <v>1486</v>
      </c>
      <c r="M78" s="529" t="s">
        <v>125</v>
      </c>
      <c r="N78" s="529" t="s">
        <v>1488</v>
      </c>
      <c r="O78" s="529" t="s">
        <v>125</v>
      </c>
      <c r="P78" s="531">
        <v>45292</v>
      </c>
      <c r="Q78" s="531">
        <v>45656</v>
      </c>
      <c r="R78" s="15" t="s">
        <v>68</v>
      </c>
      <c r="S78" s="16">
        <f>+(S79*T78)</f>
        <v>4.9019607843137254E-3</v>
      </c>
      <c r="T78" s="17">
        <f t="shared" si="1"/>
        <v>0.25</v>
      </c>
      <c r="U78" s="22">
        <v>8.3333333333333343E-2</v>
      </c>
      <c r="V78" s="22">
        <v>8.3333333333333343E-2</v>
      </c>
      <c r="W78" s="22">
        <v>8.3333333333333343E-2</v>
      </c>
      <c r="X78" s="25"/>
      <c r="Y78" s="25"/>
      <c r="Z78" s="25"/>
      <c r="AA78" s="25"/>
      <c r="AB78" s="25"/>
      <c r="AC78" s="25"/>
      <c r="AD78" s="25"/>
      <c r="AE78" s="25"/>
      <c r="AF78" s="25"/>
      <c r="AG78" s="25"/>
      <c r="AH78" s="523" t="s">
        <v>1558</v>
      </c>
      <c r="AI78" s="526"/>
      <c r="AJ78" s="518"/>
      <c r="AK78" s="518"/>
    </row>
    <row r="79" spans="1:37" ht="37.4" customHeight="1" thickBot="1" x14ac:dyDescent="0.4">
      <c r="A79" s="263"/>
      <c r="B79" s="271"/>
      <c r="C79" s="271"/>
      <c r="D79" s="271"/>
      <c r="E79" s="271"/>
      <c r="F79" s="272"/>
      <c r="G79" s="271"/>
      <c r="H79" s="536"/>
      <c r="I79" s="534"/>
      <c r="J79" s="530"/>
      <c r="K79" s="530"/>
      <c r="L79" s="530"/>
      <c r="M79" s="530"/>
      <c r="N79" s="530"/>
      <c r="O79" s="530"/>
      <c r="P79" s="532"/>
      <c r="Q79" s="532"/>
      <c r="R79" s="15" t="s">
        <v>69</v>
      </c>
      <c r="S79" s="21">
        <f>100%/51</f>
        <v>1.9607843137254902E-2</v>
      </c>
      <c r="T79" s="17">
        <f t="shared" si="1"/>
        <v>1.0000000000000002</v>
      </c>
      <c r="U79" s="22">
        <v>8.3333333333333343E-2</v>
      </c>
      <c r="V79" s="22">
        <v>8.3333333333333343E-2</v>
      </c>
      <c r="W79" s="22">
        <v>8.3333333333333343E-2</v>
      </c>
      <c r="X79" s="22">
        <v>8.3333333333333343E-2</v>
      </c>
      <c r="Y79" s="22">
        <v>8.3333333333333343E-2</v>
      </c>
      <c r="Z79" s="22">
        <v>8.3333333333333343E-2</v>
      </c>
      <c r="AA79" s="22">
        <v>8.3333333333333343E-2</v>
      </c>
      <c r="AB79" s="22">
        <v>8.3333333333333343E-2</v>
      </c>
      <c r="AC79" s="22">
        <v>8.3333333333333343E-2</v>
      </c>
      <c r="AD79" s="22">
        <v>8.3333333333333343E-2</v>
      </c>
      <c r="AE79" s="22">
        <v>8.3333333333333343E-2</v>
      </c>
      <c r="AF79" s="22">
        <v>8.3333333333333343E-2</v>
      </c>
      <c r="AG79" s="22"/>
      <c r="AH79" s="524"/>
      <c r="AI79" s="527"/>
      <c r="AJ79" s="519"/>
      <c r="AK79" s="519"/>
    </row>
    <row r="80" spans="1:37" ht="37.4" customHeight="1" thickBot="1" x14ac:dyDescent="0.4">
      <c r="A80" s="262">
        <v>34</v>
      </c>
      <c r="B80" s="262" t="s">
        <v>70</v>
      </c>
      <c r="C80" s="262" t="s">
        <v>89</v>
      </c>
      <c r="D80" s="262" t="s">
        <v>90</v>
      </c>
      <c r="E80" s="262" t="s">
        <v>91</v>
      </c>
      <c r="F80" s="272" t="s">
        <v>1389</v>
      </c>
      <c r="G80" s="271"/>
      <c r="H80" s="536"/>
      <c r="I80" s="533" t="s">
        <v>1531</v>
      </c>
      <c r="J80" s="529" t="s">
        <v>1556</v>
      </c>
      <c r="K80" s="529" t="s">
        <v>1559</v>
      </c>
      <c r="L80" s="529" t="s">
        <v>1486</v>
      </c>
      <c r="M80" s="529" t="s">
        <v>125</v>
      </c>
      <c r="N80" s="529" t="s">
        <v>1488</v>
      </c>
      <c r="O80" s="529" t="s">
        <v>125</v>
      </c>
      <c r="P80" s="531">
        <v>45292</v>
      </c>
      <c r="Q80" s="531">
        <v>45656</v>
      </c>
      <c r="R80" s="15" t="s">
        <v>68</v>
      </c>
      <c r="S80" s="16">
        <f>+(S81*T80)</f>
        <v>4.9019607843137254E-3</v>
      </c>
      <c r="T80" s="17">
        <f t="shared" ref="T80:T115" si="2">SUM(U80:AG80)</f>
        <v>0.25</v>
      </c>
      <c r="U80" s="22">
        <v>8.3333333333333343E-2</v>
      </c>
      <c r="V80" s="22">
        <v>8.3333333333333343E-2</v>
      </c>
      <c r="W80" s="22">
        <v>8.3333333333333343E-2</v>
      </c>
      <c r="X80" s="22"/>
      <c r="Y80" s="22"/>
      <c r="Z80" s="22"/>
      <c r="AA80" s="22"/>
      <c r="AB80" s="25"/>
      <c r="AC80" s="25"/>
      <c r="AD80" s="25"/>
      <c r="AE80" s="25"/>
      <c r="AF80" s="25"/>
      <c r="AG80" s="25"/>
      <c r="AH80" s="523" t="s">
        <v>1548</v>
      </c>
      <c r="AI80" s="523"/>
      <c r="AJ80" s="523"/>
      <c r="AK80" s="523"/>
    </row>
    <row r="81" spans="1:37" ht="37.4" customHeight="1" thickBot="1" x14ac:dyDescent="0.4">
      <c r="A81" s="263"/>
      <c r="B81" s="271"/>
      <c r="C81" s="271"/>
      <c r="D81" s="271"/>
      <c r="E81" s="271"/>
      <c r="F81" s="272"/>
      <c r="G81" s="271"/>
      <c r="H81" s="536"/>
      <c r="I81" s="534"/>
      <c r="J81" s="530"/>
      <c r="K81" s="530"/>
      <c r="L81" s="530"/>
      <c r="M81" s="530"/>
      <c r="N81" s="530"/>
      <c r="O81" s="530"/>
      <c r="P81" s="532"/>
      <c r="Q81" s="532"/>
      <c r="R81" s="15" t="s">
        <v>69</v>
      </c>
      <c r="S81" s="21">
        <f>100%/51</f>
        <v>1.9607843137254902E-2</v>
      </c>
      <c r="T81" s="17">
        <f t="shared" si="2"/>
        <v>1.0000000000000002</v>
      </c>
      <c r="U81" s="22">
        <v>8.3333333333333343E-2</v>
      </c>
      <c r="V81" s="22">
        <v>8.3333333333333343E-2</v>
      </c>
      <c r="W81" s="22">
        <v>8.3333333333333343E-2</v>
      </c>
      <c r="X81" s="22">
        <v>8.3333333333333343E-2</v>
      </c>
      <c r="Y81" s="22">
        <v>8.3333333333333343E-2</v>
      </c>
      <c r="Z81" s="22">
        <v>8.3333333333333343E-2</v>
      </c>
      <c r="AA81" s="22">
        <v>8.3333333333333343E-2</v>
      </c>
      <c r="AB81" s="22">
        <v>8.3333333333333343E-2</v>
      </c>
      <c r="AC81" s="22">
        <v>8.3333333333333343E-2</v>
      </c>
      <c r="AD81" s="22">
        <v>8.3333333333333343E-2</v>
      </c>
      <c r="AE81" s="22">
        <v>8.3333333333333343E-2</v>
      </c>
      <c r="AF81" s="22">
        <v>8.3333333333333343E-2</v>
      </c>
      <c r="AG81" s="22"/>
      <c r="AH81" s="524"/>
      <c r="AI81" s="524"/>
      <c r="AJ81" s="524"/>
      <c r="AK81" s="524"/>
    </row>
    <row r="82" spans="1:37" ht="37.4" customHeight="1" thickBot="1" x14ac:dyDescent="0.4">
      <c r="A82" s="262">
        <v>35</v>
      </c>
      <c r="B82" s="262" t="s">
        <v>70</v>
      </c>
      <c r="C82" s="262" t="s">
        <v>89</v>
      </c>
      <c r="D82" s="262" t="s">
        <v>90</v>
      </c>
      <c r="E82" s="262" t="s">
        <v>91</v>
      </c>
      <c r="F82" s="272" t="s">
        <v>1389</v>
      </c>
      <c r="G82" s="271"/>
      <c r="H82" s="536"/>
      <c r="I82" s="533" t="s">
        <v>1531</v>
      </c>
      <c r="J82" s="529" t="s">
        <v>1560</v>
      </c>
      <c r="K82" s="529" t="s">
        <v>1561</v>
      </c>
      <c r="L82" s="529" t="s">
        <v>1486</v>
      </c>
      <c r="M82" s="529" t="s">
        <v>125</v>
      </c>
      <c r="N82" s="529" t="s">
        <v>1488</v>
      </c>
      <c r="O82" s="529" t="s">
        <v>125</v>
      </c>
      <c r="P82" s="531">
        <v>45292</v>
      </c>
      <c r="Q82" s="531">
        <v>45656</v>
      </c>
      <c r="R82" s="15" t="s">
        <v>68</v>
      </c>
      <c r="S82" s="16">
        <f>+(S83*T82)</f>
        <v>4.9019607843137254E-3</v>
      </c>
      <c r="T82" s="17">
        <f t="shared" si="2"/>
        <v>0.25</v>
      </c>
      <c r="U82" s="22">
        <v>8.3333333333333343E-2</v>
      </c>
      <c r="V82" s="22">
        <v>8.3333333333333343E-2</v>
      </c>
      <c r="W82" s="22">
        <v>8.3333333333333343E-2</v>
      </c>
      <c r="X82" s="25"/>
      <c r="Y82" s="25"/>
      <c r="Z82" s="25"/>
      <c r="AA82" s="25"/>
      <c r="AB82" s="25"/>
      <c r="AC82" s="25"/>
      <c r="AD82" s="25"/>
      <c r="AE82" s="25"/>
      <c r="AF82" s="25"/>
      <c r="AG82" s="25"/>
      <c r="AH82" s="523" t="s">
        <v>1562</v>
      </c>
      <c r="AI82" s="526"/>
      <c r="AJ82" s="518"/>
      <c r="AK82" s="518"/>
    </row>
    <row r="83" spans="1:37" ht="37.4" customHeight="1" thickBot="1" x14ac:dyDescent="0.4">
      <c r="A83" s="263"/>
      <c r="B83" s="271"/>
      <c r="C83" s="271"/>
      <c r="D83" s="271"/>
      <c r="E83" s="271"/>
      <c r="F83" s="272"/>
      <c r="G83" s="271"/>
      <c r="H83" s="536"/>
      <c r="I83" s="534"/>
      <c r="J83" s="530"/>
      <c r="K83" s="530"/>
      <c r="L83" s="530"/>
      <c r="M83" s="530"/>
      <c r="N83" s="530"/>
      <c r="O83" s="530"/>
      <c r="P83" s="532"/>
      <c r="Q83" s="532"/>
      <c r="R83" s="15" t="s">
        <v>69</v>
      </c>
      <c r="S83" s="21">
        <f>100%/51</f>
        <v>1.9607843137254902E-2</v>
      </c>
      <c r="T83" s="17">
        <f t="shared" si="2"/>
        <v>1.0000000000000002</v>
      </c>
      <c r="U83" s="22">
        <v>8.3333333333333343E-2</v>
      </c>
      <c r="V83" s="22">
        <v>8.3333333333333343E-2</v>
      </c>
      <c r="W83" s="22">
        <v>8.3333333333333343E-2</v>
      </c>
      <c r="X83" s="22">
        <v>8.3333333333333343E-2</v>
      </c>
      <c r="Y83" s="22">
        <v>8.3333333333333343E-2</v>
      </c>
      <c r="Z83" s="22">
        <v>8.3333333333333343E-2</v>
      </c>
      <c r="AA83" s="22">
        <v>8.3333333333333343E-2</v>
      </c>
      <c r="AB83" s="22">
        <v>8.3333333333333343E-2</v>
      </c>
      <c r="AC83" s="22">
        <v>8.3333333333333343E-2</v>
      </c>
      <c r="AD83" s="22">
        <v>8.3333333333333343E-2</v>
      </c>
      <c r="AE83" s="22">
        <v>8.3333333333333343E-2</v>
      </c>
      <c r="AF83" s="22">
        <v>8.3333333333333343E-2</v>
      </c>
      <c r="AG83" s="22"/>
      <c r="AH83" s="524"/>
      <c r="AI83" s="527"/>
      <c r="AJ83" s="519"/>
      <c r="AK83" s="519"/>
    </row>
    <row r="84" spans="1:37" ht="37.4" customHeight="1" thickBot="1" x14ac:dyDescent="0.4">
      <c r="A84" s="262">
        <v>36</v>
      </c>
      <c r="B84" s="262" t="s">
        <v>70</v>
      </c>
      <c r="C84" s="262" t="s">
        <v>89</v>
      </c>
      <c r="D84" s="262" t="s">
        <v>90</v>
      </c>
      <c r="E84" s="262" t="s">
        <v>91</v>
      </c>
      <c r="F84" s="272" t="s">
        <v>1389</v>
      </c>
      <c r="G84" s="271"/>
      <c r="H84" s="536"/>
      <c r="I84" s="533" t="s">
        <v>1531</v>
      </c>
      <c r="J84" s="529" t="s">
        <v>1560</v>
      </c>
      <c r="K84" s="529" t="s">
        <v>1563</v>
      </c>
      <c r="L84" s="529" t="s">
        <v>1486</v>
      </c>
      <c r="M84" s="529" t="s">
        <v>125</v>
      </c>
      <c r="N84" s="529" t="s">
        <v>1488</v>
      </c>
      <c r="O84" s="529" t="s">
        <v>125</v>
      </c>
      <c r="P84" s="531">
        <v>45292</v>
      </c>
      <c r="Q84" s="531">
        <v>45656</v>
      </c>
      <c r="R84" s="15" t="s">
        <v>68</v>
      </c>
      <c r="S84" s="16">
        <f>+(S85*T84)</f>
        <v>4.9019607843137254E-3</v>
      </c>
      <c r="T84" s="17">
        <f t="shared" si="2"/>
        <v>0.25</v>
      </c>
      <c r="U84" s="22">
        <v>8.3333333333333343E-2</v>
      </c>
      <c r="V84" s="22">
        <v>8.3333333333333343E-2</v>
      </c>
      <c r="W84" s="22">
        <v>8.3333333333333343E-2</v>
      </c>
      <c r="X84" s="25"/>
      <c r="Y84" s="25"/>
      <c r="Z84" s="25"/>
      <c r="AA84" s="25"/>
      <c r="AB84" s="25"/>
      <c r="AC84" s="25"/>
      <c r="AD84" s="25"/>
      <c r="AE84" s="25"/>
      <c r="AF84" s="25"/>
      <c r="AG84" s="25"/>
      <c r="AH84" s="523" t="s">
        <v>1564</v>
      </c>
      <c r="AI84" s="526"/>
      <c r="AJ84" s="518"/>
      <c r="AK84" s="518"/>
    </row>
    <row r="85" spans="1:37" ht="37.4" customHeight="1" thickBot="1" x14ac:dyDescent="0.4">
      <c r="A85" s="263"/>
      <c r="B85" s="271"/>
      <c r="C85" s="271"/>
      <c r="D85" s="271"/>
      <c r="E85" s="271"/>
      <c r="F85" s="272"/>
      <c r="G85" s="271"/>
      <c r="H85" s="536"/>
      <c r="I85" s="534"/>
      <c r="J85" s="530"/>
      <c r="K85" s="530"/>
      <c r="L85" s="530"/>
      <c r="M85" s="530"/>
      <c r="N85" s="530"/>
      <c r="O85" s="530"/>
      <c r="P85" s="532"/>
      <c r="Q85" s="532"/>
      <c r="R85" s="15" t="s">
        <v>69</v>
      </c>
      <c r="S85" s="21">
        <f>100%/51</f>
        <v>1.9607843137254902E-2</v>
      </c>
      <c r="T85" s="17">
        <f t="shared" si="2"/>
        <v>1.0000000000000002</v>
      </c>
      <c r="U85" s="22">
        <v>8.3333333333333343E-2</v>
      </c>
      <c r="V85" s="22">
        <v>8.3333333333333343E-2</v>
      </c>
      <c r="W85" s="22">
        <v>8.3333333333333343E-2</v>
      </c>
      <c r="X85" s="22">
        <v>8.3333333333333343E-2</v>
      </c>
      <c r="Y85" s="22">
        <v>8.3333333333333343E-2</v>
      </c>
      <c r="Z85" s="22">
        <v>8.3333333333333343E-2</v>
      </c>
      <c r="AA85" s="22">
        <v>8.3333333333333343E-2</v>
      </c>
      <c r="AB85" s="22">
        <v>8.3333333333333343E-2</v>
      </c>
      <c r="AC85" s="22">
        <v>8.3333333333333343E-2</v>
      </c>
      <c r="AD85" s="22">
        <v>8.3333333333333343E-2</v>
      </c>
      <c r="AE85" s="22">
        <v>8.3333333333333343E-2</v>
      </c>
      <c r="AF85" s="22">
        <v>8.3333333333333343E-2</v>
      </c>
      <c r="AG85" s="22"/>
      <c r="AH85" s="524"/>
      <c r="AI85" s="527"/>
      <c r="AJ85" s="519"/>
      <c r="AK85" s="519"/>
    </row>
    <row r="86" spans="1:37" ht="37.4" customHeight="1" thickBot="1" x14ac:dyDescent="0.4">
      <c r="A86" s="262">
        <v>37</v>
      </c>
      <c r="B86" s="262" t="s">
        <v>70</v>
      </c>
      <c r="C86" s="262" t="s">
        <v>89</v>
      </c>
      <c r="D86" s="262" t="s">
        <v>90</v>
      </c>
      <c r="E86" s="262" t="s">
        <v>91</v>
      </c>
      <c r="F86" s="272" t="s">
        <v>1389</v>
      </c>
      <c r="G86" s="271"/>
      <c r="H86" s="536"/>
      <c r="I86" s="533" t="s">
        <v>1531</v>
      </c>
      <c r="J86" s="529" t="s">
        <v>1565</v>
      </c>
      <c r="K86" s="529" t="s">
        <v>1566</v>
      </c>
      <c r="L86" s="529" t="s">
        <v>1486</v>
      </c>
      <c r="M86" s="529" t="s">
        <v>1567</v>
      </c>
      <c r="N86" s="529" t="s">
        <v>1488</v>
      </c>
      <c r="O86" s="529" t="s">
        <v>1567</v>
      </c>
      <c r="P86" s="531">
        <v>45292</v>
      </c>
      <c r="Q86" s="531">
        <v>45656</v>
      </c>
      <c r="R86" s="15" t="s">
        <v>68</v>
      </c>
      <c r="S86" s="16">
        <f>+(S87*T86)</f>
        <v>4.9019607843137254E-3</v>
      </c>
      <c r="T86" s="17">
        <f t="shared" si="2"/>
        <v>0.25</v>
      </c>
      <c r="U86" s="22">
        <v>8.3333333333333343E-2</v>
      </c>
      <c r="V86" s="22">
        <v>8.3333333333333343E-2</v>
      </c>
      <c r="W86" s="22">
        <v>8.3333333333333343E-2</v>
      </c>
      <c r="X86" s="25"/>
      <c r="Y86" s="25"/>
      <c r="Z86" s="25"/>
      <c r="AA86" s="25"/>
      <c r="AB86" s="25"/>
      <c r="AC86" s="25"/>
      <c r="AD86" s="25"/>
      <c r="AE86" s="25"/>
      <c r="AF86" s="25"/>
      <c r="AG86" s="25"/>
      <c r="AH86" s="523" t="s">
        <v>1568</v>
      </c>
      <c r="AI86" s="526"/>
      <c r="AJ86" s="518"/>
      <c r="AK86" s="526"/>
    </row>
    <row r="87" spans="1:37" ht="37.4" customHeight="1" thickBot="1" x14ac:dyDescent="0.4">
      <c r="A87" s="263"/>
      <c r="B87" s="271"/>
      <c r="C87" s="271"/>
      <c r="D87" s="271"/>
      <c r="E87" s="271"/>
      <c r="F87" s="272"/>
      <c r="G87" s="271"/>
      <c r="H87" s="536"/>
      <c r="I87" s="534"/>
      <c r="J87" s="530"/>
      <c r="K87" s="530"/>
      <c r="L87" s="530"/>
      <c r="M87" s="530"/>
      <c r="N87" s="530"/>
      <c r="O87" s="530"/>
      <c r="P87" s="532"/>
      <c r="Q87" s="532"/>
      <c r="R87" s="15" t="s">
        <v>69</v>
      </c>
      <c r="S87" s="21">
        <f>100%/51</f>
        <v>1.9607843137254902E-2</v>
      </c>
      <c r="T87" s="17">
        <f t="shared" si="2"/>
        <v>1.0000000000000002</v>
      </c>
      <c r="U87" s="22">
        <v>8.3333333333333343E-2</v>
      </c>
      <c r="V87" s="22">
        <v>8.3333333333333343E-2</v>
      </c>
      <c r="W87" s="22">
        <v>8.3333333333333343E-2</v>
      </c>
      <c r="X87" s="22">
        <v>8.3333333333333343E-2</v>
      </c>
      <c r="Y87" s="22">
        <v>8.3333333333333343E-2</v>
      </c>
      <c r="Z87" s="22">
        <v>8.3333333333333343E-2</v>
      </c>
      <c r="AA87" s="22">
        <v>8.3333333333333343E-2</v>
      </c>
      <c r="AB87" s="22">
        <v>8.3333333333333343E-2</v>
      </c>
      <c r="AC87" s="22">
        <v>8.3333333333333343E-2</v>
      </c>
      <c r="AD87" s="22">
        <v>8.3333333333333343E-2</v>
      </c>
      <c r="AE87" s="22">
        <v>8.3333333333333343E-2</v>
      </c>
      <c r="AF87" s="22">
        <v>8.3333333333333343E-2</v>
      </c>
      <c r="AG87" s="22"/>
      <c r="AH87" s="524"/>
      <c r="AI87" s="527"/>
      <c r="AJ87" s="519"/>
      <c r="AK87" s="527"/>
    </row>
    <row r="88" spans="1:37" ht="37.4" customHeight="1" thickBot="1" x14ac:dyDescent="0.4">
      <c r="A88" s="262">
        <v>38</v>
      </c>
      <c r="B88" s="262" t="s">
        <v>70</v>
      </c>
      <c r="C88" s="262" t="s">
        <v>89</v>
      </c>
      <c r="D88" s="262" t="s">
        <v>90</v>
      </c>
      <c r="E88" s="262" t="s">
        <v>91</v>
      </c>
      <c r="F88" s="272" t="s">
        <v>1389</v>
      </c>
      <c r="G88" s="271"/>
      <c r="H88" s="536"/>
      <c r="I88" s="533" t="s">
        <v>1531</v>
      </c>
      <c r="J88" s="529" t="s">
        <v>1565</v>
      </c>
      <c r="K88" s="529" t="s">
        <v>1569</v>
      </c>
      <c r="L88" s="529" t="s">
        <v>1486</v>
      </c>
      <c r="M88" s="529" t="s">
        <v>133</v>
      </c>
      <c r="N88" s="529" t="s">
        <v>1488</v>
      </c>
      <c r="O88" s="529" t="s">
        <v>133</v>
      </c>
      <c r="P88" s="531">
        <v>45292</v>
      </c>
      <c r="Q88" s="531">
        <v>45656</v>
      </c>
      <c r="R88" s="15" t="s">
        <v>68</v>
      </c>
      <c r="S88" s="16">
        <f>+(S89*T88)</f>
        <v>0</v>
      </c>
      <c r="T88" s="17">
        <f t="shared" si="2"/>
        <v>0</v>
      </c>
      <c r="U88" s="25"/>
      <c r="V88" s="25"/>
      <c r="W88" s="25"/>
      <c r="X88" s="25"/>
      <c r="Y88" s="25"/>
      <c r="Z88" s="25"/>
      <c r="AA88" s="25"/>
      <c r="AB88" s="25"/>
      <c r="AC88" s="25"/>
      <c r="AD88" s="25"/>
      <c r="AE88" s="25"/>
      <c r="AF88" s="25"/>
      <c r="AG88" s="25"/>
      <c r="AH88" s="376" t="s">
        <v>225</v>
      </c>
      <c r="AI88" s="540"/>
      <c r="AJ88" s="376" t="s">
        <v>225</v>
      </c>
      <c r="AK88" s="523"/>
    </row>
    <row r="89" spans="1:37" ht="37.4" customHeight="1" thickBot="1" x14ac:dyDescent="0.4">
      <c r="A89" s="263"/>
      <c r="B89" s="271"/>
      <c r="C89" s="271"/>
      <c r="D89" s="271"/>
      <c r="E89" s="271"/>
      <c r="F89" s="272"/>
      <c r="G89" s="263"/>
      <c r="H89" s="537"/>
      <c r="I89" s="534"/>
      <c r="J89" s="530"/>
      <c r="K89" s="530"/>
      <c r="L89" s="530"/>
      <c r="M89" s="530"/>
      <c r="N89" s="530"/>
      <c r="O89" s="530"/>
      <c r="P89" s="532"/>
      <c r="Q89" s="532"/>
      <c r="R89" s="15" t="s">
        <v>69</v>
      </c>
      <c r="S89" s="21">
        <f>100%/51</f>
        <v>1.9607843137254902E-2</v>
      </c>
      <c r="T89" s="17">
        <f t="shared" si="2"/>
        <v>1</v>
      </c>
      <c r="U89" s="22"/>
      <c r="V89" s="22"/>
      <c r="W89" s="22"/>
      <c r="X89" s="22"/>
      <c r="Y89" s="22"/>
      <c r="Z89" s="22">
        <v>0.5</v>
      </c>
      <c r="AA89" s="22"/>
      <c r="AB89" s="22"/>
      <c r="AC89" s="22"/>
      <c r="AD89" s="22"/>
      <c r="AE89" s="22"/>
      <c r="AF89" s="22">
        <v>0.5</v>
      </c>
      <c r="AG89" s="22"/>
      <c r="AH89" s="377"/>
      <c r="AI89" s="541"/>
      <c r="AJ89" s="377"/>
      <c r="AK89" s="524"/>
    </row>
    <row r="90" spans="1:37" ht="37.4" customHeight="1" thickBot="1" x14ac:dyDescent="0.4">
      <c r="A90" s="262">
        <v>39</v>
      </c>
      <c r="B90" s="262" t="s">
        <v>70</v>
      </c>
      <c r="C90" s="262" t="s">
        <v>89</v>
      </c>
      <c r="D90" s="262" t="s">
        <v>90</v>
      </c>
      <c r="E90" s="262" t="s">
        <v>91</v>
      </c>
      <c r="F90" s="272" t="s">
        <v>1389</v>
      </c>
      <c r="G90" s="262" t="s">
        <v>1570</v>
      </c>
      <c r="H90" s="535" t="s">
        <v>1571</v>
      </c>
      <c r="I90" s="533" t="s">
        <v>1572</v>
      </c>
      <c r="J90" s="529" t="s">
        <v>1573</v>
      </c>
      <c r="K90" s="529" t="s">
        <v>1574</v>
      </c>
      <c r="L90" s="529" t="s">
        <v>1486</v>
      </c>
      <c r="M90" s="529" t="s">
        <v>1487</v>
      </c>
      <c r="N90" s="529" t="s">
        <v>1488</v>
      </c>
      <c r="O90" s="529" t="s">
        <v>1487</v>
      </c>
      <c r="P90" s="531">
        <v>45413</v>
      </c>
      <c r="Q90" s="531">
        <v>45534</v>
      </c>
      <c r="R90" s="15" t="s">
        <v>68</v>
      </c>
      <c r="S90" s="16">
        <f>+(S91*T90)</f>
        <v>0</v>
      </c>
      <c r="T90" s="17">
        <f t="shared" si="2"/>
        <v>0</v>
      </c>
      <c r="U90" s="25"/>
      <c r="V90" s="25"/>
      <c r="W90" s="25"/>
      <c r="X90" s="25"/>
      <c r="Y90" s="25"/>
      <c r="Z90" s="25"/>
      <c r="AA90" s="25"/>
      <c r="AB90" s="25"/>
      <c r="AC90" s="25"/>
      <c r="AD90" s="25"/>
      <c r="AE90" s="25"/>
      <c r="AF90" s="25"/>
      <c r="AG90" s="25"/>
      <c r="AH90" s="376" t="s">
        <v>225</v>
      </c>
      <c r="AI90" s="376" t="s">
        <v>225</v>
      </c>
      <c r="AJ90" s="376" t="s">
        <v>225</v>
      </c>
      <c r="AK90" s="523"/>
    </row>
    <row r="91" spans="1:37" ht="37.4" customHeight="1" thickBot="1" x14ac:dyDescent="0.4">
      <c r="A91" s="263"/>
      <c r="B91" s="271"/>
      <c r="C91" s="271"/>
      <c r="D91" s="271"/>
      <c r="E91" s="271"/>
      <c r="F91" s="272"/>
      <c r="G91" s="271"/>
      <c r="H91" s="536"/>
      <c r="I91" s="534"/>
      <c r="J91" s="530"/>
      <c r="K91" s="530"/>
      <c r="L91" s="530"/>
      <c r="M91" s="530"/>
      <c r="N91" s="530"/>
      <c r="O91" s="530"/>
      <c r="P91" s="532"/>
      <c r="Q91" s="532"/>
      <c r="R91" s="15" t="s">
        <v>69</v>
      </c>
      <c r="S91" s="21">
        <f>100%/51</f>
        <v>1.9607843137254902E-2</v>
      </c>
      <c r="T91" s="17">
        <f t="shared" si="2"/>
        <v>1</v>
      </c>
      <c r="U91" s="22"/>
      <c r="V91" s="22"/>
      <c r="W91" s="22"/>
      <c r="X91" s="22"/>
      <c r="Y91" s="22"/>
      <c r="Z91" s="22"/>
      <c r="AA91" s="22"/>
      <c r="AB91" s="22"/>
      <c r="AC91" s="22"/>
      <c r="AD91" s="22"/>
      <c r="AE91" s="22"/>
      <c r="AF91" s="22">
        <v>1</v>
      </c>
      <c r="AG91" s="22"/>
      <c r="AH91" s="377"/>
      <c r="AI91" s="377"/>
      <c r="AJ91" s="377"/>
      <c r="AK91" s="524"/>
    </row>
    <row r="92" spans="1:37" ht="37.4" customHeight="1" thickBot="1" x14ac:dyDescent="0.4">
      <c r="A92" s="262">
        <v>40</v>
      </c>
      <c r="B92" s="262" t="s">
        <v>70</v>
      </c>
      <c r="C92" s="262" t="s">
        <v>89</v>
      </c>
      <c r="D92" s="262" t="s">
        <v>90</v>
      </c>
      <c r="E92" s="262" t="s">
        <v>91</v>
      </c>
      <c r="F92" s="272" t="s">
        <v>1389</v>
      </c>
      <c r="G92" s="271"/>
      <c r="H92" s="536"/>
      <c r="I92" s="533" t="s">
        <v>1572</v>
      </c>
      <c r="J92" s="529" t="s">
        <v>1575</v>
      </c>
      <c r="K92" s="529" t="s">
        <v>1576</v>
      </c>
      <c r="L92" s="529" t="s">
        <v>1486</v>
      </c>
      <c r="M92" s="529" t="s">
        <v>1487</v>
      </c>
      <c r="N92" s="529" t="s">
        <v>1488</v>
      </c>
      <c r="O92" s="529" t="s">
        <v>1487</v>
      </c>
      <c r="P92" s="531">
        <v>45536</v>
      </c>
      <c r="Q92" s="531">
        <v>45595</v>
      </c>
      <c r="R92" s="15" t="s">
        <v>68</v>
      </c>
      <c r="S92" s="16">
        <f>+(S93*T92)</f>
        <v>0</v>
      </c>
      <c r="T92" s="17">
        <f t="shared" si="2"/>
        <v>0</v>
      </c>
      <c r="U92" s="25"/>
      <c r="V92" s="25"/>
      <c r="W92" s="25"/>
      <c r="X92" s="25"/>
      <c r="Y92" s="25"/>
      <c r="Z92" s="25"/>
      <c r="AA92" s="25"/>
      <c r="AB92" s="25"/>
      <c r="AC92" s="25"/>
      <c r="AD92" s="25"/>
      <c r="AE92" s="25"/>
      <c r="AF92" s="25"/>
      <c r="AG92" s="25"/>
      <c r="AH92" s="376" t="s">
        <v>225</v>
      </c>
      <c r="AI92" s="376" t="s">
        <v>225</v>
      </c>
      <c r="AJ92" s="376" t="s">
        <v>225</v>
      </c>
      <c r="AK92" s="518"/>
    </row>
    <row r="93" spans="1:37" ht="37.4" customHeight="1" thickBot="1" x14ac:dyDescent="0.4">
      <c r="A93" s="263"/>
      <c r="B93" s="271"/>
      <c r="C93" s="271"/>
      <c r="D93" s="271"/>
      <c r="E93" s="271"/>
      <c r="F93" s="272"/>
      <c r="G93" s="271"/>
      <c r="H93" s="536"/>
      <c r="I93" s="534"/>
      <c r="J93" s="530"/>
      <c r="K93" s="530"/>
      <c r="L93" s="530"/>
      <c r="M93" s="530"/>
      <c r="N93" s="530"/>
      <c r="O93" s="530"/>
      <c r="P93" s="532"/>
      <c r="Q93" s="532"/>
      <c r="R93" s="15" t="s">
        <v>69</v>
      </c>
      <c r="S93" s="21">
        <f>100%/51</f>
        <v>1.9607843137254902E-2</v>
      </c>
      <c r="T93" s="17">
        <f t="shared" si="2"/>
        <v>1</v>
      </c>
      <c r="U93" s="22"/>
      <c r="V93" s="22"/>
      <c r="W93" s="22"/>
      <c r="X93" s="22"/>
      <c r="Y93" s="22"/>
      <c r="Z93" s="22"/>
      <c r="AA93" s="22"/>
      <c r="AB93" s="22"/>
      <c r="AC93" s="22"/>
      <c r="AD93" s="22"/>
      <c r="AE93" s="22"/>
      <c r="AF93" s="22">
        <v>1</v>
      </c>
      <c r="AG93" s="22"/>
      <c r="AH93" s="377"/>
      <c r="AI93" s="377"/>
      <c r="AJ93" s="377"/>
      <c r="AK93" s="519"/>
    </row>
    <row r="94" spans="1:37" ht="37.4" customHeight="1" thickBot="1" x14ac:dyDescent="0.4">
      <c r="A94" s="262">
        <v>41</v>
      </c>
      <c r="B94" s="262" t="s">
        <v>70</v>
      </c>
      <c r="C94" s="262" t="s">
        <v>89</v>
      </c>
      <c r="D94" s="262" t="s">
        <v>90</v>
      </c>
      <c r="E94" s="262" t="s">
        <v>91</v>
      </c>
      <c r="F94" s="272" t="s">
        <v>1389</v>
      </c>
      <c r="G94" s="271"/>
      <c r="H94" s="536"/>
      <c r="I94" s="533" t="s">
        <v>1572</v>
      </c>
      <c r="J94" s="529" t="s">
        <v>1577</v>
      </c>
      <c r="K94" s="529" t="s">
        <v>1578</v>
      </c>
      <c r="L94" s="529" t="s">
        <v>1486</v>
      </c>
      <c r="M94" s="529" t="s">
        <v>1487</v>
      </c>
      <c r="N94" s="529" t="s">
        <v>1488</v>
      </c>
      <c r="O94" s="529" t="s">
        <v>1487</v>
      </c>
      <c r="P94" s="531">
        <v>45444</v>
      </c>
      <c r="Q94" s="531">
        <v>45595</v>
      </c>
      <c r="R94" s="15" t="s">
        <v>68</v>
      </c>
      <c r="S94" s="16">
        <f>+(S95*T94)</f>
        <v>4.9019607843137254E-3</v>
      </c>
      <c r="T94" s="17">
        <f t="shared" si="2"/>
        <v>0.25</v>
      </c>
      <c r="U94" s="25"/>
      <c r="V94" s="25"/>
      <c r="W94" s="25">
        <v>0.25</v>
      </c>
      <c r="X94" s="25"/>
      <c r="Y94" s="25"/>
      <c r="Z94" s="25"/>
      <c r="AA94" s="25"/>
      <c r="AB94" s="25"/>
      <c r="AC94" s="25"/>
      <c r="AD94" s="25"/>
      <c r="AE94" s="25"/>
      <c r="AF94" s="25"/>
      <c r="AG94" s="25"/>
      <c r="AH94" s="523" t="s">
        <v>1579</v>
      </c>
      <c r="AI94" s="526"/>
      <c r="AJ94" s="518"/>
      <c r="AK94" s="526"/>
    </row>
    <row r="95" spans="1:37" ht="37.4" customHeight="1" thickBot="1" x14ac:dyDescent="0.4">
      <c r="A95" s="263"/>
      <c r="B95" s="271"/>
      <c r="C95" s="271"/>
      <c r="D95" s="271"/>
      <c r="E95" s="271"/>
      <c r="F95" s="272"/>
      <c r="G95" s="271"/>
      <c r="H95" s="536"/>
      <c r="I95" s="534"/>
      <c r="J95" s="530"/>
      <c r="K95" s="530"/>
      <c r="L95" s="530"/>
      <c r="M95" s="530"/>
      <c r="N95" s="530"/>
      <c r="O95" s="530"/>
      <c r="P95" s="532"/>
      <c r="Q95" s="532"/>
      <c r="R95" s="15" t="s">
        <v>69</v>
      </c>
      <c r="S95" s="21">
        <f>100%/51</f>
        <v>1.9607843137254902E-2</v>
      </c>
      <c r="T95" s="17">
        <f t="shared" si="2"/>
        <v>1</v>
      </c>
      <c r="U95" s="22"/>
      <c r="V95" s="22"/>
      <c r="W95" s="22">
        <v>0.25</v>
      </c>
      <c r="X95" s="22"/>
      <c r="Y95" s="22"/>
      <c r="Z95" s="22">
        <v>0.25</v>
      </c>
      <c r="AA95" s="22"/>
      <c r="AB95" s="22"/>
      <c r="AC95" s="22">
        <v>0.25</v>
      </c>
      <c r="AD95" s="22"/>
      <c r="AE95" s="22"/>
      <c r="AF95" s="22">
        <v>0.25</v>
      </c>
      <c r="AG95" s="22"/>
      <c r="AH95" s="524"/>
      <c r="AI95" s="527"/>
      <c r="AJ95" s="519"/>
      <c r="AK95" s="527"/>
    </row>
    <row r="96" spans="1:37" ht="37.4" customHeight="1" thickBot="1" x14ac:dyDescent="0.4">
      <c r="A96" s="262">
        <v>42</v>
      </c>
      <c r="B96" s="538" t="s">
        <v>70</v>
      </c>
      <c r="C96" s="262" t="s">
        <v>89</v>
      </c>
      <c r="D96" s="262" t="s">
        <v>90</v>
      </c>
      <c r="E96" s="262" t="s">
        <v>91</v>
      </c>
      <c r="F96" s="272" t="s">
        <v>1389</v>
      </c>
      <c r="G96" s="271"/>
      <c r="H96" s="536"/>
      <c r="I96" s="533" t="s">
        <v>1572</v>
      </c>
      <c r="J96" s="529" t="s">
        <v>1580</v>
      </c>
      <c r="K96" s="529" t="s">
        <v>1581</v>
      </c>
      <c r="L96" s="529" t="s">
        <v>1486</v>
      </c>
      <c r="M96" s="529" t="s">
        <v>125</v>
      </c>
      <c r="N96" s="529" t="s">
        <v>1488</v>
      </c>
      <c r="O96" s="529" t="s">
        <v>125</v>
      </c>
      <c r="P96" s="531">
        <v>45292</v>
      </c>
      <c r="Q96" s="531">
        <v>45656</v>
      </c>
      <c r="R96" s="15" t="s">
        <v>68</v>
      </c>
      <c r="S96" s="16">
        <f>+(S97*T96)</f>
        <v>4.9019607843137254E-3</v>
      </c>
      <c r="T96" s="17">
        <f t="shared" si="2"/>
        <v>0.25</v>
      </c>
      <c r="U96" s="22">
        <v>8.3333333333333343E-2</v>
      </c>
      <c r="V96" s="22">
        <v>8.3333333333333343E-2</v>
      </c>
      <c r="W96" s="22">
        <v>8.3333333333333343E-2</v>
      </c>
      <c r="X96" s="25"/>
      <c r="Y96" s="25"/>
      <c r="Z96" s="25"/>
      <c r="AA96" s="25"/>
      <c r="AB96" s="25"/>
      <c r="AC96" s="25"/>
      <c r="AD96" s="25"/>
      <c r="AE96" s="25"/>
      <c r="AF96" s="25"/>
      <c r="AG96" s="25"/>
      <c r="AH96" s="523" t="s">
        <v>1582</v>
      </c>
      <c r="AI96" s="526"/>
      <c r="AJ96" s="518"/>
      <c r="AK96" s="526"/>
    </row>
    <row r="97" spans="1:37" ht="37.4" customHeight="1" thickBot="1" x14ac:dyDescent="0.4">
      <c r="A97" s="263"/>
      <c r="B97" s="539"/>
      <c r="C97" s="271"/>
      <c r="D97" s="271"/>
      <c r="E97" s="271"/>
      <c r="F97" s="272"/>
      <c r="G97" s="271"/>
      <c r="H97" s="536"/>
      <c r="I97" s="534"/>
      <c r="J97" s="530"/>
      <c r="K97" s="530"/>
      <c r="L97" s="530"/>
      <c r="M97" s="530"/>
      <c r="N97" s="530"/>
      <c r="O97" s="530"/>
      <c r="P97" s="532"/>
      <c r="Q97" s="532"/>
      <c r="R97" s="15" t="s">
        <v>69</v>
      </c>
      <c r="S97" s="21">
        <f>100%/51</f>
        <v>1.9607843137254902E-2</v>
      </c>
      <c r="T97" s="17">
        <f t="shared" si="2"/>
        <v>1.0000000000000002</v>
      </c>
      <c r="U97" s="22">
        <v>8.3333333333333343E-2</v>
      </c>
      <c r="V97" s="22">
        <v>8.3333333333333343E-2</v>
      </c>
      <c r="W97" s="22">
        <v>8.3333333333333343E-2</v>
      </c>
      <c r="X97" s="22">
        <v>8.3333333333333343E-2</v>
      </c>
      <c r="Y97" s="22">
        <v>8.3333333333333343E-2</v>
      </c>
      <c r="Z97" s="22">
        <v>8.3333333333333343E-2</v>
      </c>
      <c r="AA97" s="22">
        <v>8.3333333333333343E-2</v>
      </c>
      <c r="AB97" s="22">
        <v>8.3333333333333343E-2</v>
      </c>
      <c r="AC97" s="22">
        <v>8.3333333333333343E-2</v>
      </c>
      <c r="AD97" s="22">
        <v>8.3333333333333343E-2</v>
      </c>
      <c r="AE97" s="22">
        <v>8.3333333333333343E-2</v>
      </c>
      <c r="AF97" s="22">
        <v>8.3333333333333343E-2</v>
      </c>
      <c r="AG97" s="22"/>
      <c r="AH97" s="524"/>
      <c r="AI97" s="527"/>
      <c r="AJ97" s="519"/>
      <c r="AK97" s="527"/>
    </row>
    <row r="98" spans="1:37" ht="37.4" customHeight="1" thickBot="1" x14ac:dyDescent="0.4">
      <c r="A98" s="262">
        <v>43</v>
      </c>
      <c r="B98" s="262" t="s">
        <v>70</v>
      </c>
      <c r="C98" s="262" t="s">
        <v>89</v>
      </c>
      <c r="D98" s="262" t="s">
        <v>90</v>
      </c>
      <c r="E98" s="262" t="s">
        <v>91</v>
      </c>
      <c r="F98" s="272" t="s">
        <v>1389</v>
      </c>
      <c r="G98" s="271"/>
      <c r="H98" s="536"/>
      <c r="I98" s="533" t="s">
        <v>1572</v>
      </c>
      <c r="J98" s="529" t="s">
        <v>1583</v>
      </c>
      <c r="K98" s="529" t="s">
        <v>1584</v>
      </c>
      <c r="L98" s="529" t="s">
        <v>1486</v>
      </c>
      <c r="M98" s="529" t="s">
        <v>1487</v>
      </c>
      <c r="N98" s="529" t="s">
        <v>1488</v>
      </c>
      <c r="O98" s="529" t="s">
        <v>1487</v>
      </c>
      <c r="P98" s="531">
        <v>45413</v>
      </c>
      <c r="Q98" s="531">
        <v>45442</v>
      </c>
      <c r="R98" s="15" t="s">
        <v>68</v>
      </c>
      <c r="S98" s="16">
        <f>+(S99*T98)</f>
        <v>0</v>
      </c>
      <c r="T98" s="17">
        <f t="shared" si="2"/>
        <v>0</v>
      </c>
      <c r="U98" s="22"/>
      <c r="V98" s="22"/>
      <c r="W98" s="22"/>
      <c r="X98" s="22"/>
      <c r="Y98" s="22"/>
      <c r="Z98" s="22"/>
      <c r="AA98" s="22"/>
      <c r="AB98" s="25"/>
      <c r="AC98" s="25"/>
      <c r="AD98" s="25"/>
      <c r="AE98" s="25"/>
      <c r="AF98" s="25"/>
      <c r="AG98" s="25"/>
      <c r="AH98" s="376" t="s">
        <v>225</v>
      </c>
      <c r="AI98" s="376" t="s">
        <v>225</v>
      </c>
      <c r="AJ98" s="376" t="s">
        <v>225</v>
      </c>
      <c r="AK98" s="523"/>
    </row>
    <row r="99" spans="1:37" ht="37.4" customHeight="1" thickBot="1" x14ac:dyDescent="0.4">
      <c r="A99" s="263"/>
      <c r="B99" s="271"/>
      <c r="C99" s="271"/>
      <c r="D99" s="271"/>
      <c r="E99" s="271"/>
      <c r="F99" s="272"/>
      <c r="G99" s="263"/>
      <c r="H99" s="537"/>
      <c r="I99" s="534"/>
      <c r="J99" s="530"/>
      <c r="K99" s="530"/>
      <c r="L99" s="530"/>
      <c r="M99" s="530"/>
      <c r="N99" s="530"/>
      <c r="O99" s="530"/>
      <c r="P99" s="532"/>
      <c r="Q99" s="532"/>
      <c r="R99" s="15" t="s">
        <v>69</v>
      </c>
      <c r="S99" s="21">
        <f>100%/51</f>
        <v>1.9607843137254902E-2</v>
      </c>
      <c r="T99" s="17">
        <f t="shared" si="2"/>
        <v>1</v>
      </c>
      <c r="U99" s="22"/>
      <c r="V99" s="22"/>
      <c r="W99" s="22"/>
      <c r="X99" s="22"/>
      <c r="Y99" s="22"/>
      <c r="Z99" s="22"/>
      <c r="AA99" s="22"/>
      <c r="AB99" s="22"/>
      <c r="AC99" s="22"/>
      <c r="AD99" s="22"/>
      <c r="AE99" s="22"/>
      <c r="AF99" s="22">
        <v>1</v>
      </c>
      <c r="AG99" s="22"/>
      <c r="AH99" s="377"/>
      <c r="AI99" s="377"/>
      <c r="AJ99" s="377"/>
      <c r="AK99" s="524"/>
    </row>
    <row r="100" spans="1:37" ht="37.4" customHeight="1" thickBot="1" x14ac:dyDescent="0.4">
      <c r="A100" s="262">
        <v>44</v>
      </c>
      <c r="B100" s="262" t="s">
        <v>70</v>
      </c>
      <c r="C100" s="262" t="s">
        <v>89</v>
      </c>
      <c r="D100" s="262" t="s">
        <v>90</v>
      </c>
      <c r="E100" s="262" t="s">
        <v>91</v>
      </c>
      <c r="F100" s="272" t="s">
        <v>1389</v>
      </c>
      <c r="G100" s="262" t="s">
        <v>1529</v>
      </c>
      <c r="H100" s="535" t="s">
        <v>1585</v>
      </c>
      <c r="I100" s="533" t="s">
        <v>1586</v>
      </c>
      <c r="J100" s="529" t="s">
        <v>1587</v>
      </c>
      <c r="K100" s="529" t="s">
        <v>1588</v>
      </c>
      <c r="L100" s="529" t="s">
        <v>1486</v>
      </c>
      <c r="M100" s="529" t="s">
        <v>1487</v>
      </c>
      <c r="N100" s="529" t="s">
        <v>1488</v>
      </c>
      <c r="O100" s="529" t="s">
        <v>1487</v>
      </c>
      <c r="P100" s="531">
        <v>45383</v>
      </c>
      <c r="Q100" s="531">
        <v>45473</v>
      </c>
      <c r="R100" s="15" t="s">
        <v>68</v>
      </c>
      <c r="S100" s="16">
        <f>+(S101*T100)</f>
        <v>0</v>
      </c>
      <c r="T100" s="17">
        <f t="shared" si="2"/>
        <v>0</v>
      </c>
      <c r="U100" s="25"/>
      <c r="V100" s="25"/>
      <c r="W100" s="25"/>
      <c r="X100" s="25"/>
      <c r="Y100" s="25"/>
      <c r="Z100" s="25"/>
      <c r="AA100" s="25"/>
      <c r="AB100" s="25"/>
      <c r="AC100" s="25"/>
      <c r="AD100" s="25"/>
      <c r="AE100" s="25"/>
      <c r="AF100" s="25"/>
      <c r="AG100" s="25"/>
      <c r="AH100" s="376" t="s">
        <v>225</v>
      </c>
      <c r="AI100" s="376" t="s">
        <v>225</v>
      </c>
      <c r="AJ100" s="376" t="s">
        <v>225</v>
      </c>
      <c r="AK100" s="526"/>
    </row>
    <row r="101" spans="1:37" ht="37.4" customHeight="1" thickBot="1" x14ac:dyDescent="0.4">
      <c r="A101" s="263"/>
      <c r="B101" s="271"/>
      <c r="C101" s="271"/>
      <c r="D101" s="271"/>
      <c r="E101" s="271"/>
      <c r="F101" s="272"/>
      <c r="G101" s="271"/>
      <c r="H101" s="536"/>
      <c r="I101" s="534"/>
      <c r="J101" s="530"/>
      <c r="K101" s="530"/>
      <c r="L101" s="530"/>
      <c r="M101" s="530"/>
      <c r="N101" s="530"/>
      <c r="O101" s="530"/>
      <c r="P101" s="532"/>
      <c r="Q101" s="532"/>
      <c r="R101" s="15" t="s">
        <v>69</v>
      </c>
      <c r="S101" s="21">
        <f>100%/51</f>
        <v>1.9607843137254902E-2</v>
      </c>
      <c r="T101" s="17">
        <f t="shared" si="2"/>
        <v>1</v>
      </c>
      <c r="U101" s="22"/>
      <c r="V101" s="22"/>
      <c r="W101" s="22"/>
      <c r="X101" s="22"/>
      <c r="Y101" s="22"/>
      <c r="Z101" s="22"/>
      <c r="AA101" s="22"/>
      <c r="AB101" s="22"/>
      <c r="AC101" s="22"/>
      <c r="AD101" s="22"/>
      <c r="AE101" s="22"/>
      <c r="AF101" s="22">
        <v>1</v>
      </c>
      <c r="AG101" s="22"/>
      <c r="AH101" s="377"/>
      <c r="AI101" s="377"/>
      <c r="AJ101" s="377"/>
      <c r="AK101" s="527"/>
    </row>
    <row r="102" spans="1:37" ht="37.4" customHeight="1" thickBot="1" x14ac:dyDescent="0.4">
      <c r="A102" s="262">
        <v>45</v>
      </c>
      <c r="B102" s="262" t="s">
        <v>70</v>
      </c>
      <c r="C102" s="262" t="s">
        <v>89</v>
      </c>
      <c r="D102" s="262" t="s">
        <v>90</v>
      </c>
      <c r="E102" s="262" t="s">
        <v>91</v>
      </c>
      <c r="F102" s="272" t="s">
        <v>1389</v>
      </c>
      <c r="G102" s="271"/>
      <c r="H102" s="536"/>
      <c r="I102" s="533" t="s">
        <v>1586</v>
      </c>
      <c r="J102" s="529" t="s">
        <v>1587</v>
      </c>
      <c r="K102" s="529" t="s">
        <v>1589</v>
      </c>
      <c r="L102" s="529" t="s">
        <v>1486</v>
      </c>
      <c r="M102" s="529" t="s">
        <v>1487</v>
      </c>
      <c r="N102" s="529" t="s">
        <v>1488</v>
      </c>
      <c r="O102" s="529" t="s">
        <v>1487</v>
      </c>
      <c r="P102" s="531">
        <v>45566</v>
      </c>
      <c r="Q102" s="531">
        <v>45626</v>
      </c>
      <c r="R102" s="15" t="s">
        <v>68</v>
      </c>
      <c r="S102" s="16">
        <f>+(S103*T102)</f>
        <v>0</v>
      </c>
      <c r="T102" s="17">
        <f t="shared" si="2"/>
        <v>0</v>
      </c>
      <c r="U102" s="25"/>
      <c r="V102" s="25"/>
      <c r="W102" s="25"/>
      <c r="X102" s="25"/>
      <c r="Y102" s="25"/>
      <c r="Z102" s="25"/>
      <c r="AA102" s="25"/>
      <c r="AB102" s="25"/>
      <c r="AC102" s="25"/>
      <c r="AD102" s="25"/>
      <c r="AE102" s="25"/>
      <c r="AF102" s="25"/>
      <c r="AG102" s="25"/>
      <c r="AH102" s="376" t="s">
        <v>225</v>
      </c>
      <c r="AI102" s="376" t="s">
        <v>225</v>
      </c>
      <c r="AJ102" s="376" t="s">
        <v>225</v>
      </c>
      <c r="AK102" s="518"/>
    </row>
    <row r="103" spans="1:37" ht="37.4" customHeight="1" thickBot="1" x14ac:dyDescent="0.4">
      <c r="A103" s="263"/>
      <c r="B103" s="271"/>
      <c r="C103" s="271"/>
      <c r="D103" s="271"/>
      <c r="E103" s="271"/>
      <c r="F103" s="272"/>
      <c r="G103" s="263"/>
      <c r="H103" s="537"/>
      <c r="I103" s="534"/>
      <c r="J103" s="530"/>
      <c r="K103" s="530"/>
      <c r="L103" s="530"/>
      <c r="M103" s="530"/>
      <c r="N103" s="530"/>
      <c r="O103" s="530"/>
      <c r="P103" s="532"/>
      <c r="Q103" s="532"/>
      <c r="R103" s="15" t="s">
        <v>69</v>
      </c>
      <c r="S103" s="21">
        <f>100%/51</f>
        <v>1.9607843137254902E-2</v>
      </c>
      <c r="T103" s="17">
        <f t="shared" si="2"/>
        <v>1</v>
      </c>
      <c r="U103" s="22"/>
      <c r="V103" s="22"/>
      <c r="W103" s="22"/>
      <c r="X103" s="22"/>
      <c r="Y103" s="22"/>
      <c r="Z103" s="22"/>
      <c r="AA103" s="22"/>
      <c r="AB103" s="22"/>
      <c r="AC103" s="22"/>
      <c r="AD103" s="22"/>
      <c r="AE103" s="22"/>
      <c r="AF103" s="22">
        <v>1</v>
      </c>
      <c r="AG103" s="22"/>
      <c r="AH103" s="377"/>
      <c r="AI103" s="377"/>
      <c r="AJ103" s="377"/>
      <c r="AK103" s="519"/>
    </row>
    <row r="104" spans="1:37" ht="37.4" customHeight="1" thickBot="1" x14ac:dyDescent="0.4">
      <c r="A104" s="262">
        <v>46</v>
      </c>
      <c r="B104" s="525" t="s">
        <v>70</v>
      </c>
      <c r="C104" s="261" t="s">
        <v>89</v>
      </c>
      <c r="D104" s="261" t="s">
        <v>90</v>
      </c>
      <c r="E104" s="261" t="s">
        <v>91</v>
      </c>
      <c r="F104" s="272" t="s">
        <v>1389</v>
      </c>
      <c r="G104" s="261" t="s">
        <v>1590</v>
      </c>
      <c r="H104" s="528" t="s">
        <v>1591</v>
      </c>
      <c r="I104" s="521" t="s">
        <v>1592</v>
      </c>
      <c r="J104" s="522" t="s">
        <v>1593</v>
      </c>
      <c r="K104" s="522" t="s">
        <v>1594</v>
      </c>
      <c r="L104" s="522" t="s">
        <v>1486</v>
      </c>
      <c r="M104" s="522" t="s">
        <v>125</v>
      </c>
      <c r="N104" s="522" t="s">
        <v>1488</v>
      </c>
      <c r="O104" s="522" t="s">
        <v>125</v>
      </c>
      <c r="P104" s="520">
        <v>45292</v>
      </c>
      <c r="Q104" s="520">
        <v>45656</v>
      </c>
      <c r="R104" s="196" t="s">
        <v>68</v>
      </c>
      <c r="S104" s="16">
        <f>+(S105*T104)</f>
        <v>4.9019607843137254E-3</v>
      </c>
      <c r="T104" s="17">
        <f t="shared" si="2"/>
        <v>0.25</v>
      </c>
      <c r="U104" s="22">
        <v>8.3333333333333343E-2</v>
      </c>
      <c r="V104" s="22">
        <v>8.3333333333333343E-2</v>
      </c>
      <c r="W104" s="22">
        <v>8.3333333333333343E-2</v>
      </c>
      <c r="X104" s="25"/>
      <c r="Y104" s="25"/>
      <c r="Z104" s="25"/>
      <c r="AA104" s="25"/>
      <c r="AB104" s="25"/>
      <c r="AC104" s="25"/>
      <c r="AD104" s="25"/>
      <c r="AE104" s="25"/>
      <c r="AF104" s="25"/>
      <c r="AG104" s="25"/>
      <c r="AH104" s="523" t="s">
        <v>1595</v>
      </c>
      <c r="AI104" s="526"/>
      <c r="AJ104" s="518"/>
      <c r="AK104" s="518"/>
    </row>
    <row r="105" spans="1:37" ht="37.4" customHeight="1" thickBot="1" x14ac:dyDescent="0.4">
      <c r="A105" s="263"/>
      <c r="B105" s="525"/>
      <c r="C105" s="261"/>
      <c r="D105" s="261"/>
      <c r="E105" s="261"/>
      <c r="F105" s="272"/>
      <c r="G105" s="261"/>
      <c r="H105" s="528"/>
      <c r="I105" s="521"/>
      <c r="J105" s="522"/>
      <c r="K105" s="522"/>
      <c r="L105" s="522"/>
      <c r="M105" s="522"/>
      <c r="N105" s="522"/>
      <c r="O105" s="522"/>
      <c r="P105" s="520"/>
      <c r="Q105" s="520"/>
      <c r="R105" s="196" t="s">
        <v>69</v>
      </c>
      <c r="S105" s="21">
        <f>100%/51</f>
        <v>1.9607843137254902E-2</v>
      </c>
      <c r="T105" s="17">
        <f t="shared" si="2"/>
        <v>1.0000000000000002</v>
      </c>
      <c r="U105" s="22">
        <v>8.3333333333333343E-2</v>
      </c>
      <c r="V105" s="22">
        <v>8.3333333333333343E-2</v>
      </c>
      <c r="W105" s="22">
        <v>8.3333333333333343E-2</v>
      </c>
      <c r="X105" s="22">
        <v>8.3333333333333343E-2</v>
      </c>
      <c r="Y105" s="22">
        <v>8.3333333333333343E-2</v>
      </c>
      <c r="Z105" s="22">
        <v>8.3333333333333343E-2</v>
      </c>
      <c r="AA105" s="22">
        <v>8.3333333333333343E-2</v>
      </c>
      <c r="AB105" s="22">
        <v>8.3333333333333343E-2</v>
      </c>
      <c r="AC105" s="22">
        <v>8.3333333333333343E-2</v>
      </c>
      <c r="AD105" s="22">
        <v>8.3333333333333343E-2</v>
      </c>
      <c r="AE105" s="22">
        <v>8.3333333333333343E-2</v>
      </c>
      <c r="AF105" s="22">
        <v>8.3333333333333343E-2</v>
      </c>
      <c r="AG105" s="22"/>
      <c r="AH105" s="524"/>
      <c r="AI105" s="527"/>
      <c r="AJ105" s="519"/>
      <c r="AK105" s="519"/>
    </row>
    <row r="106" spans="1:37" ht="37.4" customHeight="1" thickBot="1" x14ac:dyDescent="0.4">
      <c r="A106" s="262">
        <v>47</v>
      </c>
      <c r="B106" s="525" t="s">
        <v>70</v>
      </c>
      <c r="C106" s="261" t="s">
        <v>89</v>
      </c>
      <c r="D106" s="261" t="s">
        <v>90</v>
      </c>
      <c r="E106" s="261" t="s">
        <v>91</v>
      </c>
      <c r="F106" s="272" t="s">
        <v>1389</v>
      </c>
      <c r="G106" s="261"/>
      <c r="H106" s="528"/>
      <c r="I106" s="521" t="s">
        <v>1592</v>
      </c>
      <c r="J106" s="522" t="s">
        <v>1593</v>
      </c>
      <c r="K106" s="522" t="s">
        <v>1596</v>
      </c>
      <c r="L106" s="522" t="s">
        <v>1486</v>
      </c>
      <c r="M106" s="522" t="s">
        <v>67</v>
      </c>
      <c r="N106" s="522" t="s">
        <v>1488</v>
      </c>
      <c r="O106" s="522" t="s">
        <v>67</v>
      </c>
      <c r="P106" s="520">
        <v>45383</v>
      </c>
      <c r="Q106" s="520">
        <v>45656</v>
      </c>
      <c r="R106" s="196" t="s">
        <v>68</v>
      </c>
      <c r="S106" s="16">
        <f>+(S107*T106)</f>
        <v>4.9019607843137254E-3</v>
      </c>
      <c r="T106" s="17">
        <f t="shared" si="2"/>
        <v>0.25</v>
      </c>
      <c r="U106" s="25"/>
      <c r="V106" s="25"/>
      <c r="W106" s="25">
        <v>0.25</v>
      </c>
      <c r="X106" s="25"/>
      <c r="Y106" s="25"/>
      <c r="Z106" s="25"/>
      <c r="AA106" s="25"/>
      <c r="AB106" s="25"/>
      <c r="AC106" s="25"/>
      <c r="AD106" s="25"/>
      <c r="AE106" s="25"/>
      <c r="AF106" s="25"/>
      <c r="AG106" s="25"/>
      <c r="AH106" s="523" t="s">
        <v>1597</v>
      </c>
      <c r="AI106" s="523"/>
      <c r="AJ106" s="523"/>
      <c r="AK106" s="523"/>
    </row>
    <row r="107" spans="1:37" ht="37.4" customHeight="1" thickBot="1" x14ac:dyDescent="0.4">
      <c r="A107" s="263"/>
      <c r="B107" s="525"/>
      <c r="C107" s="261"/>
      <c r="D107" s="261"/>
      <c r="E107" s="261"/>
      <c r="F107" s="272"/>
      <c r="G107" s="261"/>
      <c r="H107" s="528"/>
      <c r="I107" s="521"/>
      <c r="J107" s="522"/>
      <c r="K107" s="522"/>
      <c r="L107" s="522"/>
      <c r="M107" s="522"/>
      <c r="N107" s="522"/>
      <c r="O107" s="522"/>
      <c r="P107" s="520"/>
      <c r="Q107" s="520"/>
      <c r="R107" s="196" t="s">
        <v>69</v>
      </c>
      <c r="S107" s="21">
        <f>100%/51</f>
        <v>1.9607843137254902E-2</v>
      </c>
      <c r="T107" s="17">
        <f t="shared" si="2"/>
        <v>1</v>
      </c>
      <c r="U107" s="22"/>
      <c r="V107" s="22"/>
      <c r="W107" s="22">
        <v>0.25</v>
      </c>
      <c r="X107" s="22"/>
      <c r="Y107" s="22"/>
      <c r="Z107" s="22">
        <v>0.25</v>
      </c>
      <c r="AA107" s="22"/>
      <c r="AB107" s="22"/>
      <c r="AC107" s="22">
        <v>0.25</v>
      </c>
      <c r="AD107" s="22"/>
      <c r="AE107" s="22"/>
      <c r="AF107" s="22">
        <v>0.25</v>
      </c>
      <c r="AG107" s="22"/>
      <c r="AH107" s="524"/>
      <c r="AI107" s="524"/>
      <c r="AJ107" s="524"/>
      <c r="AK107" s="524"/>
    </row>
    <row r="108" spans="1:37" ht="37.4" customHeight="1" thickBot="1" x14ac:dyDescent="0.4">
      <c r="A108" s="262">
        <v>48</v>
      </c>
      <c r="B108" s="261" t="s">
        <v>70</v>
      </c>
      <c r="C108" s="261" t="s">
        <v>89</v>
      </c>
      <c r="D108" s="261" t="s">
        <v>90</v>
      </c>
      <c r="E108" s="261" t="s">
        <v>91</v>
      </c>
      <c r="F108" s="272" t="s">
        <v>1389</v>
      </c>
      <c r="G108" s="261"/>
      <c r="H108" s="528"/>
      <c r="I108" s="521" t="s">
        <v>1592</v>
      </c>
      <c r="J108" s="522" t="s">
        <v>1598</v>
      </c>
      <c r="K108" s="522" t="s">
        <v>1599</v>
      </c>
      <c r="L108" s="522" t="s">
        <v>1486</v>
      </c>
      <c r="M108" s="522" t="s">
        <v>1487</v>
      </c>
      <c r="N108" s="522" t="s">
        <v>1488</v>
      </c>
      <c r="O108" s="522" t="s">
        <v>1487</v>
      </c>
      <c r="P108" s="520">
        <v>45536</v>
      </c>
      <c r="Q108" s="520">
        <v>45595</v>
      </c>
      <c r="R108" s="196" t="s">
        <v>68</v>
      </c>
      <c r="S108" s="16">
        <f>+(S109*T108)</f>
        <v>0</v>
      </c>
      <c r="T108" s="17">
        <f t="shared" si="2"/>
        <v>0</v>
      </c>
      <c r="U108" s="25"/>
      <c r="V108" s="25"/>
      <c r="W108" s="25"/>
      <c r="X108" s="25"/>
      <c r="Y108" s="25"/>
      <c r="Z108" s="25"/>
      <c r="AA108" s="25"/>
      <c r="AB108" s="25"/>
      <c r="AC108" s="25"/>
      <c r="AD108" s="25"/>
      <c r="AE108" s="25"/>
      <c r="AF108" s="25"/>
      <c r="AG108" s="25"/>
      <c r="AH108" s="376" t="s">
        <v>225</v>
      </c>
      <c r="AI108" s="376" t="s">
        <v>225</v>
      </c>
      <c r="AJ108" s="376" t="s">
        <v>225</v>
      </c>
      <c r="AK108" s="518"/>
    </row>
    <row r="109" spans="1:37" ht="37.4" customHeight="1" thickBot="1" x14ac:dyDescent="0.4">
      <c r="A109" s="263"/>
      <c r="B109" s="261"/>
      <c r="C109" s="261"/>
      <c r="D109" s="261"/>
      <c r="E109" s="261"/>
      <c r="F109" s="272"/>
      <c r="G109" s="261"/>
      <c r="H109" s="528"/>
      <c r="I109" s="521"/>
      <c r="J109" s="522"/>
      <c r="K109" s="522"/>
      <c r="L109" s="522"/>
      <c r="M109" s="522"/>
      <c r="N109" s="522"/>
      <c r="O109" s="522"/>
      <c r="P109" s="520"/>
      <c r="Q109" s="520"/>
      <c r="R109" s="196" t="s">
        <v>69</v>
      </c>
      <c r="S109" s="21">
        <f>100%/51</f>
        <v>1.9607843137254902E-2</v>
      </c>
      <c r="T109" s="17">
        <f t="shared" si="2"/>
        <v>1</v>
      </c>
      <c r="U109" s="22"/>
      <c r="V109" s="22"/>
      <c r="W109" s="22"/>
      <c r="X109" s="22"/>
      <c r="Y109" s="22"/>
      <c r="Z109" s="22"/>
      <c r="AA109" s="22"/>
      <c r="AB109" s="22"/>
      <c r="AC109" s="22"/>
      <c r="AD109" s="22"/>
      <c r="AE109" s="22"/>
      <c r="AF109" s="22">
        <v>1</v>
      </c>
      <c r="AG109" s="22"/>
      <c r="AH109" s="377"/>
      <c r="AI109" s="377"/>
      <c r="AJ109" s="377"/>
      <c r="AK109" s="519"/>
    </row>
    <row r="110" spans="1:37" ht="40" customHeight="1" thickBot="1" x14ac:dyDescent="0.4">
      <c r="A110" s="262">
        <v>49</v>
      </c>
      <c r="B110" s="261" t="s">
        <v>70</v>
      </c>
      <c r="C110" s="261" t="s">
        <v>89</v>
      </c>
      <c r="D110" s="261" t="s">
        <v>90</v>
      </c>
      <c r="E110" s="261" t="s">
        <v>91</v>
      </c>
      <c r="F110" s="272" t="s">
        <v>1389</v>
      </c>
      <c r="G110" s="261"/>
      <c r="H110" s="528"/>
      <c r="I110" s="521" t="s">
        <v>1592</v>
      </c>
      <c r="J110" s="522" t="s">
        <v>1600</v>
      </c>
      <c r="K110" s="522" t="s">
        <v>1601</v>
      </c>
      <c r="L110" s="522" t="s">
        <v>1486</v>
      </c>
      <c r="M110" s="522" t="s">
        <v>1487</v>
      </c>
      <c r="N110" s="522" t="s">
        <v>1488</v>
      </c>
      <c r="O110" s="522" t="s">
        <v>1487</v>
      </c>
      <c r="P110" s="520">
        <v>45566</v>
      </c>
      <c r="Q110" s="520">
        <v>45626</v>
      </c>
      <c r="R110" s="196" t="s">
        <v>68</v>
      </c>
      <c r="S110" s="16">
        <f>+(S111*T110)</f>
        <v>0</v>
      </c>
      <c r="T110" s="17">
        <f t="shared" si="2"/>
        <v>0</v>
      </c>
      <c r="U110" s="25"/>
      <c r="V110" s="25"/>
      <c r="W110" s="25"/>
      <c r="X110" s="25"/>
      <c r="Y110" s="25"/>
      <c r="Z110" s="25"/>
      <c r="AA110" s="25"/>
      <c r="AB110" s="25"/>
      <c r="AC110" s="25"/>
      <c r="AD110" s="25"/>
      <c r="AE110" s="25"/>
      <c r="AF110" s="25"/>
      <c r="AG110" s="25"/>
      <c r="AH110" s="376" t="s">
        <v>225</v>
      </c>
      <c r="AI110" s="376" t="s">
        <v>225</v>
      </c>
      <c r="AJ110" s="376" t="s">
        <v>225</v>
      </c>
      <c r="AK110" s="518"/>
    </row>
    <row r="111" spans="1:37" ht="40" customHeight="1" thickBot="1" x14ac:dyDescent="0.4">
      <c r="A111" s="263"/>
      <c r="B111" s="261"/>
      <c r="C111" s="261"/>
      <c r="D111" s="261"/>
      <c r="E111" s="261"/>
      <c r="F111" s="272"/>
      <c r="G111" s="261"/>
      <c r="H111" s="528"/>
      <c r="I111" s="521"/>
      <c r="J111" s="522"/>
      <c r="K111" s="522"/>
      <c r="L111" s="522"/>
      <c r="M111" s="522"/>
      <c r="N111" s="522"/>
      <c r="O111" s="522"/>
      <c r="P111" s="520"/>
      <c r="Q111" s="520"/>
      <c r="R111" s="196" t="s">
        <v>69</v>
      </c>
      <c r="S111" s="21">
        <f>100%/51</f>
        <v>1.9607843137254902E-2</v>
      </c>
      <c r="T111" s="17">
        <f t="shared" si="2"/>
        <v>1</v>
      </c>
      <c r="U111" s="22"/>
      <c r="V111" s="22"/>
      <c r="W111" s="22"/>
      <c r="X111" s="22"/>
      <c r="Y111" s="22"/>
      <c r="Z111" s="22"/>
      <c r="AA111" s="22"/>
      <c r="AB111" s="22"/>
      <c r="AC111" s="22"/>
      <c r="AD111" s="22"/>
      <c r="AE111" s="22"/>
      <c r="AF111" s="22">
        <v>1</v>
      </c>
      <c r="AG111" s="22"/>
      <c r="AH111" s="377"/>
      <c r="AI111" s="377"/>
      <c r="AJ111" s="377"/>
      <c r="AK111" s="519"/>
    </row>
    <row r="112" spans="1:37" ht="40" customHeight="1" thickBot="1" x14ac:dyDescent="0.4">
      <c r="A112" s="262">
        <v>50</v>
      </c>
      <c r="B112" s="261" t="s">
        <v>70</v>
      </c>
      <c r="C112" s="261" t="s">
        <v>89</v>
      </c>
      <c r="D112" s="261" t="s">
        <v>90</v>
      </c>
      <c r="E112" s="261" t="s">
        <v>91</v>
      </c>
      <c r="F112" s="272" t="s">
        <v>1389</v>
      </c>
      <c r="G112" s="261"/>
      <c r="H112" s="528"/>
      <c r="I112" s="521" t="s">
        <v>1592</v>
      </c>
      <c r="J112" s="522" t="s">
        <v>1600</v>
      </c>
      <c r="K112" s="522" t="s">
        <v>1602</v>
      </c>
      <c r="L112" s="522" t="s">
        <v>1486</v>
      </c>
      <c r="M112" s="522" t="s">
        <v>1487</v>
      </c>
      <c r="N112" s="522" t="s">
        <v>1488</v>
      </c>
      <c r="O112" s="522" t="s">
        <v>1487</v>
      </c>
      <c r="P112" s="520">
        <v>45566</v>
      </c>
      <c r="Q112" s="520">
        <v>45626</v>
      </c>
      <c r="R112" s="196" t="s">
        <v>68</v>
      </c>
      <c r="S112" s="16">
        <f>+(S113*T112)</f>
        <v>0</v>
      </c>
      <c r="T112" s="17">
        <f t="shared" si="2"/>
        <v>0</v>
      </c>
      <c r="U112" s="25"/>
      <c r="V112" s="25"/>
      <c r="W112" s="25"/>
      <c r="X112" s="25"/>
      <c r="Y112" s="25"/>
      <c r="Z112" s="25"/>
      <c r="AA112" s="25"/>
      <c r="AB112" s="25"/>
      <c r="AC112" s="25"/>
      <c r="AD112" s="25"/>
      <c r="AE112" s="25"/>
      <c r="AF112" s="25"/>
      <c r="AG112" s="25"/>
      <c r="AH112" s="376" t="s">
        <v>225</v>
      </c>
      <c r="AI112" s="376" t="s">
        <v>225</v>
      </c>
      <c r="AJ112" s="376" t="s">
        <v>225</v>
      </c>
      <c r="AK112" s="518"/>
    </row>
    <row r="113" spans="1:37" ht="40" customHeight="1" thickBot="1" x14ac:dyDescent="0.4">
      <c r="A113" s="263"/>
      <c r="B113" s="261"/>
      <c r="C113" s="261"/>
      <c r="D113" s="261"/>
      <c r="E113" s="261"/>
      <c r="F113" s="272"/>
      <c r="G113" s="261"/>
      <c r="H113" s="528"/>
      <c r="I113" s="521"/>
      <c r="J113" s="522"/>
      <c r="K113" s="522"/>
      <c r="L113" s="522"/>
      <c r="M113" s="522"/>
      <c r="N113" s="522"/>
      <c r="O113" s="522"/>
      <c r="P113" s="520"/>
      <c r="Q113" s="520"/>
      <c r="R113" s="196" t="s">
        <v>69</v>
      </c>
      <c r="S113" s="21">
        <f>100%/51</f>
        <v>1.9607843137254902E-2</v>
      </c>
      <c r="T113" s="17">
        <f t="shared" si="2"/>
        <v>1</v>
      </c>
      <c r="U113" s="22"/>
      <c r="V113" s="22"/>
      <c r="W113" s="22"/>
      <c r="X113" s="22"/>
      <c r="Y113" s="22"/>
      <c r="Z113" s="22"/>
      <c r="AA113" s="22"/>
      <c r="AB113" s="22"/>
      <c r="AC113" s="22"/>
      <c r="AD113" s="22"/>
      <c r="AE113" s="22"/>
      <c r="AF113" s="22">
        <v>1</v>
      </c>
      <c r="AG113" s="22"/>
      <c r="AH113" s="377"/>
      <c r="AI113" s="377"/>
      <c r="AJ113" s="377"/>
      <c r="AK113" s="519"/>
    </row>
    <row r="114" spans="1:37" ht="40" customHeight="1" thickBot="1" x14ac:dyDescent="0.4">
      <c r="A114" s="262">
        <v>51</v>
      </c>
      <c r="B114" s="261" t="s">
        <v>70</v>
      </c>
      <c r="C114" s="261" t="s">
        <v>89</v>
      </c>
      <c r="D114" s="261" t="s">
        <v>90</v>
      </c>
      <c r="E114" s="261" t="s">
        <v>91</v>
      </c>
      <c r="F114" s="272" t="s">
        <v>1389</v>
      </c>
      <c r="G114" s="261"/>
      <c r="H114" s="528"/>
      <c r="I114" s="521" t="s">
        <v>1592</v>
      </c>
      <c r="J114" s="522" t="s">
        <v>1600</v>
      </c>
      <c r="K114" s="522" t="s">
        <v>1603</v>
      </c>
      <c r="L114" s="522" t="s">
        <v>1486</v>
      </c>
      <c r="M114" s="522" t="s">
        <v>1487</v>
      </c>
      <c r="N114" s="522" t="s">
        <v>1488</v>
      </c>
      <c r="O114" s="522" t="s">
        <v>1487</v>
      </c>
      <c r="P114" s="520">
        <v>45597</v>
      </c>
      <c r="Q114" s="520">
        <v>45626</v>
      </c>
      <c r="R114" s="196" t="s">
        <v>68</v>
      </c>
      <c r="S114" s="16">
        <f>+(S115*T114)</f>
        <v>0</v>
      </c>
      <c r="T114" s="17">
        <f t="shared" si="2"/>
        <v>0</v>
      </c>
      <c r="U114" s="25"/>
      <c r="V114" s="25"/>
      <c r="W114" s="25"/>
      <c r="X114" s="25"/>
      <c r="Y114" s="25"/>
      <c r="Z114" s="25"/>
      <c r="AA114" s="25"/>
      <c r="AB114" s="25"/>
      <c r="AC114" s="25"/>
      <c r="AD114" s="25"/>
      <c r="AE114" s="25"/>
      <c r="AF114" s="25"/>
      <c r="AG114" s="25"/>
      <c r="AH114" s="376" t="s">
        <v>225</v>
      </c>
      <c r="AI114" s="376" t="s">
        <v>225</v>
      </c>
      <c r="AJ114" s="376" t="s">
        <v>225</v>
      </c>
      <c r="AK114" s="518"/>
    </row>
    <row r="115" spans="1:37" ht="40" customHeight="1" x14ac:dyDescent="0.35">
      <c r="A115" s="263"/>
      <c r="B115" s="261"/>
      <c r="C115" s="261"/>
      <c r="D115" s="261"/>
      <c r="E115" s="261"/>
      <c r="F115" s="272"/>
      <c r="G115" s="261"/>
      <c r="H115" s="528"/>
      <c r="I115" s="521"/>
      <c r="J115" s="522"/>
      <c r="K115" s="522"/>
      <c r="L115" s="522"/>
      <c r="M115" s="522"/>
      <c r="N115" s="522"/>
      <c r="O115" s="522"/>
      <c r="P115" s="520"/>
      <c r="Q115" s="520"/>
      <c r="R115" s="196" t="s">
        <v>69</v>
      </c>
      <c r="S115" s="21">
        <f>100%/51</f>
        <v>1.9607843137254902E-2</v>
      </c>
      <c r="T115" s="17">
        <f t="shared" si="2"/>
        <v>1</v>
      </c>
      <c r="U115" s="22"/>
      <c r="V115" s="22"/>
      <c r="W115" s="22"/>
      <c r="X115" s="22"/>
      <c r="Y115" s="22"/>
      <c r="Z115" s="22"/>
      <c r="AA115" s="22"/>
      <c r="AB115" s="22"/>
      <c r="AC115" s="22"/>
      <c r="AD115" s="22"/>
      <c r="AE115" s="22"/>
      <c r="AF115" s="22">
        <v>1</v>
      </c>
      <c r="AG115" s="22"/>
      <c r="AH115" s="377"/>
      <c r="AI115" s="377"/>
      <c r="AJ115" s="377"/>
      <c r="AK115" s="519"/>
    </row>
    <row r="117" spans="1:37" ht="15" hidden="1" customHeight="1" x14ac:dyDescent="0.35">
      <c r="B117" s="270" t="s">
        <v>26</v>
      </c>
      <c r="C117" s="270" t="s">
        <v>27</v>
      </c>
      <c r="D117" s="270" t="s">
        <v>28</v>
      </c>
      <c r="E117" s="270" t="s">
        <v>29</v>
      </c>
      <c r="F117" s="270" t="s">
        <v>30</v>
      </c>
      <c r="G117" s="268" t="s">
        <v>31</v>
      </c>
      <c r="M117" s="268" t="s">
        <v>121</v>
      </c>
    </row>
    <row r="118" spans="1:37" ht="15" hidden="1" customHeight="1" x14ac:dyDescent="0.35">
      <c r="B118" s="269"/>
      <c r="C118" s="269"/>
      <c r="D118" s="269"/>
      <c r="E118" s="269"/>
      <c r="F118" s="269"/>
      <c r="G118" s="269"/>
      <c r="M118" s="269"/>
    </row>
    <row r="119" spans="1:37" ht="15" hidden="1" customHeight="1" x14ac:dyDescent="0.35">
      <c r="B119" s="13" t="s">
        <v>70</v>
      </c>
      <c r="C119" s="13" t="s">
        <v>122</v>
      </c>
      <c r="D119" s="13" t="s">
        <v>90</v>
      </c>
      <c r="E119" s="13" t="s">
        <v>91</v>
      </c>
      <c r="F119" s="13" t="s">
        <v>123</v>
      </c>
      <c r="G119" s="13" t="s">
        <v>124</v>
      </c>
      <c r="M119" s="13" t="s">
        <v>125</v>
      </c>
    </row>
    <row r="120" spans="1:37" ht="15" hidden="1" customHeight="1" x14ac:dyDescent="0.35">
      <c r="B120" s="13" t="s">
        <v>94</v>
      </c>
      <c r="C120" s="13" t="s">
        <v>89</v>
      </c>
      <c r="D120" s="13" t="s">
        <v>126</v>
      </c>
      <c r="E120" s="13" t="s">
        <v>127</v>
      </c>
      <c r="F120" s="13" t="s">
        <v>128</v>
      </c>
      <c r="G120" s="13" t="s">
        <v>129</v>
      </c>
      <c r="M120" s="13" t="s">
        <v>67</v>
      </c>
    </row>
    <row r="121" spans="1:37" ht="15" hidden="1" customHeight="1" x14ac:dyDescent="0.35">
      <c r="B121" s="13" t="s">
        <v>58</v>
      </c>
      <c r="C121" s="13" t="s">
        <v>77</v>
      </c>
      <c r="D121" s="13" t="s">
        <v>60</v>
      </c>
      <c r="E121" s="13" t="s">
        <v>130</v>
      </c>
      <c r="F121" s="13" t="s">
        <v>131</v>
      </c>
      <c r="G121" s="13" t="s">
        <v>132</v>
      </c>
      <c r="M121" s="13" t="s">
        <v>133</v>
      </c>
    </row>
    <row r="122" spans="1:37" ht="15" hidden="1" customHeight="1" x14ac:dyDescent="0.35">
      <c r="B122" s="13" t="s">
        <v>76</v>
      </c>
      <c r="C122" s="13" t="s">
        <v>82</v>
      </c>
      <c r="D122" s="13" t="s">
        <v>134</v>
      </c>
      <c r="E122" s="13" t="s">
        <v>135</v>
      </c>
      <c r="F122" s="13" t="s">
        <v>136</v>
      </c>
      <c r="G122" s="13" t="s">
        <v>137</v>
      </c>
    </row>
    <row r="123" spans="1:37" ht="15" hidden="1" customHeight="1" x14ac:dyDescent="0.35">
      <c r="B123" s="13" t="s">
        <v>81</v>
      </c>
      <c r="C123" s="13" t="s">
        <v>98</v>
      </c>
      <c r="D123" s="13" t="s">
        <v>71</v>
      </c>
      <c r="E123" s="13" t="s">
        <v>138</v>
      </c>
      <c r="F123" s="13" t="s">
        <v>139</v>
      </c>
      <c r="G123" s="13" t="s">
        <v>140</v>
      </c>
    </row>
    <row r="124" spans="1:37" ht="15" hidden="1" customHeight="1" x14ac:dyDescent="0.35">
      <c r="B124" s="13" t="s">
        <v>141</v>
      </c>
      <c r="C124" s="13" t="s">
        <v>142</v>
      </c>
      <c r="D124" s="13" t="s">
        <v>78</v>
      </c>
      <c r="E124" s="13" t="s">
        <v>104</v>
      </c>
      <c r="F124" s="13" t="s">
        <v>143</v>
      </c>
      <c r="G124" s="13" t="s">
        <v>87</v>
      </c>
    </row>
    <row r="125" spans="1:37" ht="15" hidden="1" customHeight="1" x14ac:dyDescent="0.35">
      <c r="B125" s="13" t="s">
        <v>144</v>
      </c>
      <c r="C125" s="13" t="s">
        <v>145</v>
      </c>
      <c r="D125" s="13" t="s">
        <v>146</v>
      </c>
      <c r="E125" s="13" t="s">
        <v>83</v>
      </c>
      <c r="F125" s="13" t="s">
        <v>147</v>
      </c>
      <c r="G125" s="13" t="s">
        <v>148</v>
      </c>
    </row>
    <row r="126" spans="1:37" ht="15" hidden="1" customHeight="1" x14ac:dyDescent="0.35">
      <c r="B126" s="13" t="s">
        <v>149</v>
      </c>
      <c r="C126" s="13" t="s">
        <v>150</v>
      </c>
      <c r="E126" s="13" t="s">
        <v>86</v>
      </c>
      <c r="F126" s="13" t="s">
        <v>151</v>
      </c>
      <c r="G126" s="13" t="s">
        <v>105</v>
      </c>
    </row>
    <row r="127" spans="1:37" ht="15" hidden="1" customHeight="1" x14ac:dyDescent="0.35">
      <c r="C127" s="13" t="s">
        <v>103</v>
      </c>
      <c r="E127" s="13" t="s">
        <v>95</v>
      </c>
      <c r="F127" s="13" t="s">
        <v>152</v>
      </c>
      <c r="G127" s="13" t="s">
        <v>73</v>
      </c>
    </row>
    <row r="128" spans="1:37" ht="15" hidden="1" customHeight="1" x14ac:dyDescent="0.35">
      <c r="C128" s="13" t="s">
        <v>59</v>
      </c>
      <c r="E128" s="13" t="s">
        <v>153</v>
      </c>
      <c r="F128" s="13" t="s">
        <v>154</v>
      </c>
      <c r="G128" s="13" t="s">
        <v>92</v>
      </c>
    </row>
    <row r="129" spans="5:7" ht="15" hidden="1" customHeight="1" x14ac:dyDescent="0.35">
      <c r="E129" s="13" t="s">
        <v>155</v>
      </c>
      <c r="F129" s="13" t="s">
        <v>156</v>
      </c>
      <c r="G129" s="13" t="s">
        <v>100</v>
      </c>
    </row>
    <row r="130" spans="5:7" ht="15" hidden="1" customHeight="1" x14ac:dyDescent="0.35">
      <c r="E130" s="13" t="s">
        <v>157</v>
      </c>
      <c r="F130" s="13" t="s">
        <v>158</v>
      </c>
      <c r="G130" s="13" t="s">
        <v>159</v>
      </c>
    </row>
    <row r="131" spans="5:7" ht="15" hidden="1" customHeight="1" x14ac:dyDescent="0.35">
      <c r="E131" s="13" t="s">
        <v>61</v>
      </c>
      <c r="G131" s="13" t="s">
        <v>160</v>
      </c>
    </row>
    <row r="132" spans="5:7" ht="15" hidden="1" customHeight="1" x14ac:dyDescent="0.35">
      <c r="E132" s="13" t="s">
        <v>161</v>
      </c>
      <c r="G132" s="13" t="s">
        <v>162</v>
      </c>
    </row>
    <row r="133" spans="5:7" ht="15" hidden="1" customHeight="1" x14ac:dyDescent="0.35">
      <c r="E133" s="13" t="s">
        <v>72</v>
      </c>
      <c r="G133" s="13" t="s">
        <v>163</v>
      </c>
    </row>
    <row r="134" spans="5:7" ht="15" hidden="1" customHeight="1" x14ac:dyDescent="0.35">
      <c r="E134" s="13" t="s">
        <v>99</v>
      </c>
      <c r="G134" s="13" t="s">
        <v>164</v>
      </c>
    </row>
    <row r="135" spans="5:7" ht="15" hidden="1" customHeight="1" x14ac:dyDescent="0.35">
      <c r="E135" s="13" t="s">
        <v>165</v>
      </c>
      <c r="G135" s="13" t="s">
        <v>166</v>
      </c>
    </row>
    <row r="136" spans="5:7" ht="15" hidden="1" customHeight="1" x14ac:dyDescent="0.35">
      <c r="E136" s="13" t="s">
        <v>79</v>
      </c>
      <c r="G136" s="13" t="s">
        <v>167</v>
      </c>
    </row>
    <row r="137" spans="5:7" ht="15" hidden="1" customHeight="1" x14ac:dyDescent="0.35">
      <c r="E137" s="13" t="s">
        <v>168</v>
      </c>
      <c r="G137" s="13" t="s">
        <v>169</v>
      </c>
    </row>
    <row r="138" spans="5:7" ht="15" hidden="1" customHeight="1" x14ac:dyDescent="0.35">
      <c r="G138" s="13" t="s">
        <v>170</v>
      </c>
    </row>
    <row r="139" spans="5:7" ht="15" hidden="1" customHeight="1" x14ac:dyDescent="0.35">
      <c r="G139" s="13" t="s">
        <v>171</v>
      </c>
    </row>
    <row r="140" spans="5:7" ht="15" hidden="1" customHeight="1" x14ac:dyDescent="0.35">
      <c r="G140" s="13" t="s">
        <v>172</v>
      </c>
    </row>
    <row r="141" spans="5:7" ht="15" hidden="1" customHeight="1" x14ac:dyDescent="0.35">
      <c r="G141" s="13" t="s">
        <v>173</v>
      </c>
    </row>
    <row r="142" spans="5:7" ht="15" hidden="1" customHeight="1" x14ac:dyDescent="0.35">
      <c r="G142" s="13" t="s">
        <v>174</v>
      </c>
    </row>
    <row r="143" spans="5:7" ht="15" hidden="1" customHeight="1" x14ac:dyDescent="0.35">
      <c r="G143" s="13" t="s">
        <v>175</v>
      </c>
    </row>
    <row r="144" spans="5:7" ht="15" hidden="1" customHeight="1" x14ac:dyDescent="0.35">
      <c r="G144" s="13" t="s">
        <v>176</v>
      </c>
    </row>
    <row r="145" spans="7:7" ht="15" hidden="1" customHeight="1" x14ac:dyDescent="0.35">
      <c r="G145" s="13" t="s">
        <v>177</v>
      </c>
    </row>
    <row r="146" spans="7:7" ht="15" hidden="1" customHeight="1" x14ac:dyDescent="0.35">
      <c r="G146" s="13" t="s">
        <v>178</v>
      </c>
    </row>
    <row r="147" spans="7:7" ht="15" hidden="1" customHeight="1" x14ac:dyDescent="0.35">
      <c r="G147" s="13" t="s">
        <v>179</v>
      </c>
    </row>
    <row r="148" spans="7:7" ht="15" hidden="1" customHeight="1" x14ac:dyDescent="0.35">
      <c r="G148" s="13" t="s">
        <v>180</v>
      </c>
    </row>
    <row r="149" spans="7:7" ht="15" hidden="1" customHeight="1" x14ac:dyDescent="0.35">
      <c r="G149" s="13" t="s">
        <v>181</v>
      </c>
    </row>
    <row r="150" spans="7:7" ht="15" hidden="1" customHeight="1" x14ac:dyDescent="0.35">
      <c r="G150" s="13" t="s">
        <v>182</v>
      </c>
    </row>
    <row r="151" spans="7:7" ht="15" hidden="1" customHeight="1" x14ac:dyDescent="0.35">
      <c r="G151" s="13" t="s">
        <v>183</v>
      </c>
    </row>
    <row r="152" spans="7:7" ht="15" hidden="1" customHeight="1" x14ac:dyDescent="0.35">
      <c r="G152" s="13" t="s">
        <v>184</v>
      </c>
    </row>
    <row r="153" spans="7:7" ht="15" hidden="1" customHeight="1" x14ac:dyDescent="0.35">
      <c r="G153" s="13" t="s">
        <v>96</v>
      </c>
    </row>
    <row r="154" spans="7:7" ht="15" hidden="1" customHeight="1" x14ac:dyDescent="0.35">
      <c r="G154" s="13" t="s">
        <v>185</v>
      </c>
    </row>
    <row r="155" spans="7:7" ht="15" hidden="1" customHeight="1" x14ac:dyDescent="0.35">
      <c r="G155" s="13" t="s">
        <v>186</v>
      </c>
    </row>
    <row r="156" spans="7:7" ht="15" hidden="1" customHeight="1" x14ac:dyDescent="0.35">
      <c r="G156" s="13" t="s">
        <v>187</v>
      </c>
    </row>
    <row r="157" spans="7:7" ht="15" hidden="1" customHeight="1" x14ac:dyDescent="0.35">
      <c r="G157" s="13" t="s">
        <v>62</v>
      </c>
    </row>
    <row r="158" spans="7:7" ht="15" hidden="1" customHeight="1" x14ac:dyDescent="0.35">
      <c r="G158" s="13" t="s">
        <v>188</v>
      </c>
    </row>
    <row r="159" spans="7:7" ht="15" hidden="1" customHeight="1" x14ac:dyDescent="0.35">
      <c r="G159" s="13" t="s">
        <v>189</v>
      </c>
    </row>
    <row r="160" spans="7:7" ht="15" hidden="1" customHeight="1" x14ac:dyDescent="0.35">
      <c r="G160" s="13" t="s">
        <v>190</v>
      </c>
    </row>
    <row r="161" spans="7:7" ht="15" hidden="1" customHeight="1" x14ac:dyDescent="0.35">
      <c r="G161" s="13" t="s">
        <v>191</v>
      </c>
    </row>
    <row r="162" spans="7:7" ht="15" hidden="1" customHeight="1" x14ac:dyDescent="0.35">
      <c r="G162" s="13" t="s">
        <v>192</v>
      </c>
    </row>
    <row r="163" spans="7:7" ht="15" hidden="1" customHeight="1" x14ac:dyDescent="0.35">
      <c r="G163" s="13" t="s">
        <v>193</v>
      </c>
    </row>
    <row r="164" spans="7:7" ht="15" hidden="1" customHeight="1" x14ac:dyDescent="0.35">
      <c r="G164" s="13" t="s">
        <v>194</v>
      </c>
    </row>
    <row r="165" spans="7:7" ht="15" hidden="1" customHeight="1" x14ac:dyDescent="0.35">
      <c r="G165" s="13" t="s">
        <v>195</v>
      </c>
    </row>
    <row r="166" spans="7:7" ht="15" hidden="1" customHeight="1" x14ac:dyDescent="0.35">
      <c r="G166" s="13" t="s">
        <v>196</v>
      </c>
    </row>
    <row r="167" spans="7:7" ht="15" hidden="1" customHeight="1" x14ac:dyDescent="0.35">
      <c r="G167" s="13" t="s">
        <v>197</v>
      </c>
    </row>
    <row r="168" spans="7:7" ht="15" hidden="1" customHeight="1" x14ac:dyDescent="0.35">
      <c r="G168" s="13" t="s">
        <v>198</v>
      </c>
    </row>
    <row r="169" spans="7:7" ht="15" hidden="1" customHeight="1" x14ac:dyDescent="0.35">
      <c r="G169" s="13" t="s">
        <v>199</v>
      </c>
    </row>
    <row r="170" spans="7:7" ht="15" hidden="1" customHeight="1" x14ac:dyDescent="0.35">
      <c r="G170" s="13" t="s">
        <v>200</v>
      </c>
    </row>
    <row r="171" spans="7:7" ht="15" hidden="1" customHeight="1" x14ac:dyDescent="0.35">
      <c r="G171" s="13" t="s">
        <v>14</v>
      </c>
    </row>
    <row r="172" spans="7:7" ht="15" hidden="1" customHeight="1" x14ac:dyDescent="0.35">
      <c r="G172" s="13" t="s">
        <v>201</v>
      </c>
    </row>
    <row r="173" spans="7:7" ht="15" hidden="1" customHeight="1" x14ac:dyDescent="0.35">
      <c r="G173" s="13" t="s">
        <v>84</v>
      </c>
    </row>
    <row r="174" spans="7:7" ht="15" hidden="1" customHeight="1" x14ac:dyDescent="0.35">
      <c r="G174" s="13" t="s">
        <v>202</v>
      </c>
    </row>
    <row r="175" spans="7:7" ht="15" hidden="1" customHeight="1" x14ac:dyDescent="0.35">
      <c r="G175" s="13" t="s">
        <v>203</v>
      </c>
    </row>
    <row r="176" spans="7:7" ht="15" hidden="1" customHeight="1" x14ac:dyDescent="0.35">
      <c r="G176" s="13" t="s">
        <v>204</v>
      </c>
    </row>
    <row r="177" spans="7:7" ht="15" hidden="1" customHeight="1" x14ac:dyDescent="0.35">
      <c r="G177" s="13" t="s">
        <v>205</v>
      </c>
    </row>
    <row r="178" spans="7:7" ht="15" hidden="1" customHeight="1" x14ac:dyDescent="0.35">
      <c r="G178" s="13" t="s">
        <v>206</v>
      </c>
    </row>
  </sheetData>
  <sheetProtection algorithmName="SHA-512" hashValue="tm5cxwTRLLyFXBUTXALMqRMRugzR+lal97iWbp0lVaz1TY92aqwD4RD3IgWD+/me7UCj8zkwnr4tWdMCehEvSw==" saltValue="ycJO/yRPBqbG3RX5/MXxIA==" spinCount="100000" sheet="1" formatCells="0" formatColumns="0" formatRows="0" insertColumns="0" insertRows="0" insertHyperlinks="0" deleteColumns="0" deleteRows="0" sort="0" autoFilter="0" pivotTables="0"/>
  <protectedRanges>
    <protectedRange sqref="U62:AF62 U60:AF60 U58:AF58 U56:AF56 U54:AF54 U52:AF52 U50:AF50 U48:AF48 U46:AF46 U44:AF44 U42:AF42 U40:AF40 U38:AF38 U36:AF36 U34:AF34 U32:AF32 U30:AF30 U28:AF28 U26:AF26" name="Rango2"/>
    <protectedRange sqref="U14:AF14 U16:AF16 AH14:AK115 U114:AF114 U112:AF112 U110:AF110 U108:AF108 U106:AF106 U104:AF104 U102:AF102 U100:AF100 U98:AF98 U96:AF96 U94:AF94 U92:AF92 U90:AF90 U88:AF88 U86:AF86" name="Rango1"/>
  </protectedRanges>
  <autoFilter ref="A13:AK13" xr:uid="{480F24F0-31F6-435B-91DF-0E482DD06D54}"/>
  <mergeCells count="1050">
    <mergeCell ref="X12:X13"/>
    <mergeCell ref="M12:M13"/>
    <mergeCell ref="N12:N13"/>
    <mergeCell ref="O12:O13"/>
    <mergeCell ref="P12:P13"/>
    <mergeCell ref="Q12:Q13"/>
    <mergeCell ref="R12:R13"/>
    <mergeCell ref="G12:G13"/>
    <mergeCell ref="H12:H13"/>
    <mergeCell ref="I12:I13"/>
    <mergeCell ref="J12:J13"/>
    <mergeCell ref="K12:K13"/>
    <mergeCell ref="L12:L13"/>
    <mergeCell ref="S12:S13"/>
    <mergeCell ref="T12:T13"/>
    <mergeCell ref="U12:U13"/>
    <mergeCell ref="V12:V13"/>
    <mergeCell ref="W12:W13"/>
    <mergeCell ref="A1:C3"/>
    <mergeCell ref="D1:AK3"/>
    <mergeCell ref="A4:A5"/>
    <mergeCell ref="G4:G5"/>
    <mergeCell ref="A6:B10"/>
    <mergeCell ref="C6:D10"/>
    <mergeCell ref="E6:F10"/>
    <mergeCell ref="G6:G10"/>
    <mergeCell ref="H6:I10"/>
    <mergeCell ref="J6:J10"/>
    <mergeCell ref="A12:A13"/>
    <mergeCell ref="B12:B13"/>
    <mergeCell ref="C12:C13"/>
    <mergeCell ref="D12:D13"/>
    <mergeCell ref="E12:E13"/>
    <mergeCell ref="F12:F13"/>
    <mergeCell ref="AC6:AF10"/>
    <mergeCell ref="AG6:AH10"/>
    <mergeCell ref="AI6:AI10"/>
    <mergeCell ref="AJ6:AJ10"/>
    <mergeCell ref="A11:F11"/>
    <mergeCell ref="G11:Q11"/>
    <mergeCell ref="R11:AG11"/>
    <mergeCell ref="AH11:AK11"/>
    <mergeCell ref="K6:L10"/>
    <mergeCell ref="M6:M10"/>
    <mergeCell ref="N6:Q10"/>
    <mergeCell ref="R6:T10"/>
    <mergeCell ref="U6:X10"/>
    <mergeCell ref="Y6:AB10"/>
    <mergeCell ref="AC12:AC13"/>
    <mergeCell ref="AD12:AD13"/>
    <mergeCell ref="P14:P15"/>
    <mergeCell ref="Q14:Q15"/>
    <mergeCell ref="AH14:AH15"/>
    <mergeCell ref="AI14:AI15"/>
    <mergeCell ref="AJ14:AJ15"/>
    <mergeCell ref="AK14:AK15"/>
    <mergeCell ref="J14:J15"/>
    <mergeCell ref="K14:K15"/>
    <mergeCell ref="L14:L15"/>
    <mergeCell ref="M14:M15"/>
    <mergeCell ref="N14:N15"/>
    <mergeCell ref="O14:O15"/>
    <mergeCell ref="AK12:AK13"/>
    <mergeCell ref="A14:A15"/>
    <mergeCell ref="B14:B15"/>
    <mergeCell ref="C14:C15"/>
    <mergeCell ref="D14:D15"/>
    <mergeCell ref="E14:E15"/>
    <mergeCell ref="F14:F15"/>
    <mergeCell ref="G14:G29"/>
    <mergeCell ref="H14:H29"/>
    <mergeCell ref="I14:I15"/>
    <mergeCell ref="AE12:AE13"/>
    <mergeCell ref="AF12:AF13"/>
    <mergeCell ref="AG12:AG13"/>
    <mergeCell ref="AH12:AH13"/>
    <mergeCell ref="AI12:AI13"/>
    <mergeCell ref="AJ12:AJ13"/>
    <mergeCell ref="Y12:Y13"/>
    <mergeCell ref="Z12:Z13"/>
    <mergeCell ref="AA12:AA13"/>
    <mergeCell ref="AB12:AB13"/>
    <mergeCell ref="AK16:AK17"/>
    <mergeCell ref="A18:A19"/>
    <mergeCell ref="B18:B19"/>
    <mergeCell ref="C18:C19"/>
    <mergeCell ref="D18:D19"/>
    <mergeCell ref="E18:E19"/>
    <mergeCell ref="F18:F19"/>
    <mergeCell ref="I18:I19"/>
    <mergeCell ref="J18:J19"/>
    <mergeCell ref="K18:K19"/>
    <mergeCell ref="O16:O17"/>
    <mergeCell ref="P16:P17"/>
    <mergeCell ref="Q16:Q17"/>
    <mergeCell ref="AH16:AH17"/>
    <mergeCell ref="AI16:AI17"/>
    <mergeCell ref="AJ16:AJ17"/>
    <mergeCell ref="I16:I17"/>
    <mergeCell ref="J16:J17"/>
    <mergeCell ref="K16:K17"/>
    <mergeCell ref="L16:L17"/>
    <mergeCell ref="M16:M17"/>
    <mergeCell ref="N16:N17"/>
    <mergeCell ref="A16:A17"/>
    <mergeCell ref="B16:B17"/>
    <mergeCell ref="C16:C17"/>
    <mergeCell ref="D16:D17"/>
    <mergeCell ref="E16:E17"/>
    <mergeCell ref="F16:F17"/>
    <mergeCell ref="I20:I21"/>
    <mergeCell ref="J20:J21"/>
    <mergeCell ref="K20:K21"/>
    <mergeCell ref="L20:L21"/>
    <mergeCell ref="M20:M21"/>
    <mergeCell ref="N20:N21"/>
    <mergeCell ref="AH18:AH19"/>
    <mergeCell ref="AI18:AI19"/>
    <mergeCell ref="AJ18:AJ19"/>
    <mergeCell ref="AK18:AK19"/>
    <mergeCell ref="A20:A21"/>
    <mergeCell ref="B20:B21"/>
    <mergeCell ref="C20:C21"/>
    <mergeCell ref="D20:D21"/>
    <mergeCell ref="E20:E21"/>
    <mergeCell ref="F20:F21"/>
    <mergeCell ref="L18:L19"/>
    <mergeCell ref="M18:M19"/>
    <mergeCell ref="N18:N19"/>
    <mergeCell ref="O18:O19"/>
    <mergeCell ref="P18:P19"/>
    <mergeCell ref="Q18:Q19"/>
    <mergeCell ref="AH22:AH23"/>
    <mergeCell ref="AI22:AI23"/>
    <mergeCell ref="AJ22:AJ23"/>
    <mergeCell ref="AK22:AK23"/>
    <mergeCell ref="A24:A25"/>
    <mergeCell ref="B24:B25"/>
    <mergeCell ref="C24:C25"/>
    <mergeCell ref="D24:D25"/>
    <mergeCell ref="E24:E25"/>
    <mergeCell ref="F24:F25"/>
    <mergeCell ref="L22:L23"/>
    <mergeCell ref="M22:M23"/>
    <mergeCell ref="N22:N23"/>
    <mergeCell ref="O22:O23"/>
    <mergeCell ref="P22:P23"/>
    <mergeCell ref="Q22:Q23"/>
    <mergeCell ref="AK20:AK21"/>
    <mergeCell ref="A22:A23"/>
    <mergeCell ref="B22:B23"/>
    <mergeCell ref="C22:C23"/>
    <mergeCell ref="D22:D23"/>
    <mergeCell ref="E22:E23"/>
    <mergeCell ref="F22:F23"/>
    <mergeCell ref="I22:I23"/>
    <mergeCell ref="J22:J23"/>
    <mergeCell ref="K22:K23"/>
    <mergeCell ref="O20:O21"/>
    <mergeCell ref="P20:P21"/>
    <mergeCell ref="Q20:Q21"/>
    <mergeCell ref="AH20:AH21"/>
    <mergeCell ref="AI20:AI21"/>
    <mergeCell ref="AJ20:AJ21"/>
    <mergeCell ref="AK24:AK25"/>
    <mergeCell ref="A26:A27"/>
    <mergeCell ref="B26:B27"/>
    <mergeCell ref="C26:C27"/>
    <mergeCell ref="D26:D27"/>
    <mergeCell ref="E26:E27"/>
    <mergeCell ref="F26:F27"/>
    <mergeCell ref="I26:I27"/>
    <mergeCell ref="J26:J27"/>
    <mergeCell ref="K26:K27"/>
    <mergeCell ref="O24:O25"/>
    <mergeCell ref="P24:P25"/>
    <mergeCell ref="Q24:Q25"/>
    <mergeCell ref="AH24:AH25"/>
    <mergeCell ref="AI24:AI25"/>
    <mergeCell ref="AJ24:AJ25"/>
    <mergeCell ref="I24:I25"/>
    <mergeCell ref="J24:J25"/>
    <mergeCell ref="K24:K25"/>
    <mergeCell ref="L24:L25"/>
    <mergeCell ref="M24:M25"/>
    <mergeCell ref="N24:N25"/>
    <mergeCell ref="J28:J29"/>
    <mergeCell ref="K28:K29"/>
    <mergeCell ref="L28:L29"/>
    <mergeCell ref="M28:M29"/>
    <mergeCell ref="N28:N29"/>
    <mergeCell ref="I32:I33"/>
    <mergeCell ref="J32:J33"/>
    <mergeCell ref="K32:K33"/>
    <mergeCell ref="AH26:AH27"/>
    <mergeCell ref="AI26:AI27"/>
    <mergeCell ref="AJ26:AJ27"/>
    <mergeCell ref="AK26:AK27"/>
    <mergeCell ref="A28:A29"/>
    <mergeCell ref="B28:B29"/>
    <mergeCell ref="C28:C29"/>
    <mergeCell ref="D28:D29"/>
    <mergeCell ref="E28:E29"/>
    <mergeCell ref="F28:F29"/>
    <mergeCell ref="L26:L27"/>
    <mergeCell ref="M26:M27"/>
    <mergeCell ref="N26:N27"/>
    <mergeCell ref="O26:O27"/>
    <mergeCell ref="P26:P27"/>
    <mergeCell ref="Q26:Q27"/>
    <mergeCell ref="P30:P31"/>
    <mergeCell ref="Q30:Q31"/>
    <mergeCell ref="AH30:AH31"/>
    <mergeCell ref="AI30:AI31"/>
    <mergeCell ref="AJ30:AJ31"/>
    <mergeCell ref="AH34:AH35"/>
    <mergeCell ref="AI34:AI35"/>
    <mergeCell ref="AJ34:AJ35"/>
    <mergeCell ref="AK30:AK31"/>
    <mergeCell ref="J30:J31"/>
    <mergeCell ref="K30:K31"/>
    <mergeCell ref="L30:L31"/>
    <mergeCell ref="M30:M31"/>
    <mergeCell ref="N30:N31"/>
    <mergeCell ref="O30:O31"/>
    <mergeCell ref="AK28:AK29"/>
    <mergeCell ref="A30:A31"/>
    <mergeCell ref="B30:B31"/>
    <mergeCell ref="C30:C31"/>
    <mergeCell ref="D30:D31"/>
    <mergeCell ref="E30:E31"/>
    <mergeCell ref="F30:F31"/>
    <mergeCell ref="G30:G49"/>
    <mergeCell ref="H30:H49"/>
    <mergeCell ref="I30:I31"/>
    <mergeCell ref="O28:O29"/>
    <mergeCell ref="P28:P29"/>
    <mergeCell ref="Q28:Q29"/>
    <mergeCell ref="AH28:AH29"/>
    <mergeCell ref="AI28:AI29"/>
    <mergeCell ref="AJ28:AJ29"/>
    <mergeCell ref="I28:I29"/>
    <mergeCell ref="AK32:AK33"/>
    <mergeCell ref="A34:A35"/>
    <mergeCell ref="B34:B35"/>
    <mergeCell ref="C34:C35"/>
    <mergeCell ref="D34:D35"/>
    <mergeCell ref="E34:E35"/>
    <mergeCell ref="F34:F35"/>
    <mergeCell ref="I34:I35"/>
    <mergeCell ref="J34:J35"/>
    <mergeCell ref="K34:K35"/>
    <mergeCell ref="O32:O33"/>
    <mergeCell ref="P32:P33"/>
    <mergeCell ref="Q32:Q33"/>
    <mergeCell ref="AH32:AH33"/>
    <mergeCell ref="AI32:AI33"/>
    <mergeCell ref="AJ32:AJ33"/>
    <mergeCell ref="AK36:AK37"/>
    <mergeCell ref="L32:L33"/>
    <mergeCell ref="M32:M33"/>
    <mergeCell ref="N32:N33"/>
    <mergeCell ref="A32:A33"/>
    <mergeCell ref="B32:B33"/>
    <mergeCell ref="C32:C33"/>
    <mergeCell ref="D32:D33"/>
    <mergeCell ref="E32:E33"/>
    <mergeCell ref="F32:F33"/>
    <mergeCell ref="O36:O37"/>
    <mergeCell ref="P36:P37"/>
    <mergeCell ref="Q36:Q37"/>
    <mergeCell ref="AH36:AH37"/>
    <mergeCell ref="AI36:AI37"/>
    <mergeCell ref="AJ36:AJ37"/>
    <mergeCell ref="I36:I37"/>
    <mergeCell ref="J36:J37"/>
    <mergeCell ref="K36:K37"/>
    <mergeCell ref="L36:L37"/>
    <mergeCell ref="M36:M37"/>
    <mergeCell ref="N36:N37"/>
    <mergeCell ref="AK34:AK35"/>
    <mergeCell ref="A36:A37"/>
    <mergeCell ref="B36:B37"/>
    <mergeCell ref="C36:C37"/>
    <mergeCell ref="D36:D37"/>
    <mergeCell ref="E36:E37"/>
    <mergeCell ref="F36:F37"/>
    <mergeCell ref="L34:L35"/>
    <mergeCell ref="M34:M35"/>
    <mergeCell ref="N34:N35"/>
    <mergeCell ref="O34:O35"/>
    <mergeCell ref="P34:P35"/>
    <mergeCell ref="Q34:Q35"/>
    <mergeCell ref="I40:I41"/>
    <mergeCell ref="J40:J41"/>
    <mergeCell ref="K40:K41"/>
    <mergeCell ref="L40:L41"/>
    <mergeCell ref="M40:M41"/>
    <mergeCell ref="N40:N41"/>
    <mergeCell ref="AH38:AH39"/>
    <mergeCell ref="AI38:AI39"/>
    <mergeCell ref="AJ38:AJ39"/>
    <mergeCell ref="AK38:AK39"/>
    <mergeCell ref="A40:A41"/>
    <mergeCell ref="B40:B41"/>
    <mergeCell ref="C40:C41"/>
    <mergeCell ref="D40:D41"/>
    <mergeCell ref="E40:E41"/>
    <mergeCell ref="F40:F41"/>
    <mergeCell ref="L38:L39"/>
    <mergeCell ref="M38:M39"/>
    <mergeCell ref="N38:N39"/>
    <mergeCell ref="O38:O39"/>
    <mergeCell ref="P38:P39"/>
    <mergeCell ref="Q38:Q39"/>
    <mergeCell ref="A38:A39"/>
    <mergeCell ref="B38:B39"/>
    <mergeCell ref="C38:C39"/>
    <mergeCell ref="D38:D39"/>
    <mergeCell ref="E38:E39"/>
    <mergeCell ref="F38:F39"/>
    <mergeCell ref="I38:I39"/>
    <mergeCell ref="J38:J39"/>
    <mergeCell ref="K38:K39"/>
    <mergeCell ref="AH42:AH43"/>
    <mergeCell ref="AI42:AI43"/>
    <mergeCell ref="AJ42:AJ43"/>
    <mergeCell ref="AK42:AK43"/>
    <mergeCell ref="A44:A45"/>
    <mergeCell ref="B44:B45"/>
    <mergeCell ref="C44:C45"/>
    <mergeCell ref="D44:D45"/>
    <mergeCell ref="E44:E45"/>
    <mergeCell ref="F44:F45"/>
    <mergeCell ref="L42:L43"/>
    <mergeCell ref="M42:M43"/>
    <mergeCell ref="N42:N43"/>
    <mergeCell ref="O42:O43"/>
    <mergeCell ref="P42:P43"/>
    <mergeCell ref="Q42:Q43"/>
    <mergeCell ref="AK40:AK41"/>
    <mergeCell ref="A42:A43"/>
    <mergeCell ref="B42:B43"/>
    <mergeCell ref="C42:C43"/>
    <mergeCell ref="D42:D43"/>
    <mergeCell ref="E42:E43"/>
    <mergeCell ref="F42:F43"/>
    <mergeCell ref="I42:I43"/>
    <mergeCell ref="J42:J43"/>
    <mergeCell ref="K42:K43"/>
    <mergeCell ref="O40:O41"/>
    <mergeCell ref="P40:P41"/>
    <mergeCell ref="Q40:Q41"/>
    <mergeCell ref="AH40:AH41"/>
    <mergeCell ref="AI40:AI41"/>
    <mergeCell ref="AJ40:AJ41"/>
    <mergeCell ref="AK44:AK45"/>
    <mergeCell ref="D46:D47"/>
    <mergeCell ref="E46:E47"/>
    <mergeCell ref="F46:F47"/>
    <mergeCell ref="I46:I47"/>
    <mergeCell ref="J46:J47"/>
    <mergeCell ref="K46:K47"/>
    <mergeCell ref="O44:O45"/>
    <mergeCell ref="P44:P45"/>
    <mergeCell ref="Q44:Q45"/>
    <mergeCell ref="AH44:AH45"/>
    <mergeCell ref="AI44:AI45"/>
    <mergeCell ref="AJ44:AJ45"/>
    <mergeCell ref="I44:I45"/>
    <mergeCell ref="J44:J45"/>
    <mergeCell ref="K44:K45"/>
    <mergeCell ref="L44:L45"/>
    <mergeCell ref="M44:M45"/>
    <mergeCell ref="N44:N45"/>
    <mergeCell ref="J48:J49"/>
    <mergeCell ref="K48:K49"/>
    <mergeCell ref="L48:L49"/>
    <mergeCell ref="M48:M49"/>
    <mergeCell ref="N48:N49"/>
    <mergeCell ref="I52:I53"/>
    <mergeCell ref="J52:J53"/>
    <mergeCell ref="K52:K53"/>
    <mergeCell ref="AH46:AH47"/>
    <mergeCell ref="AI46:AI47"/>
    <mergeCell ref="AJ46:AJ47"/>
    <mergeCell ref="AK46:AK47"/>
    <mergeCell ref="A48:A49"/>
    <mergeCell ref="B48:B49"/>
    <mergeCell ref="C48:C49"/>
    <mergeCell ref="D48:D49"/>
    <mergeCell ref="E48:E49"/>
    <mergeCell ref="F48:F49"/>
    <mergeCell ref="L46:L47"/>
    <mergeCell ref="M46:M47"/>
    <mergeCell ref="N46:N47"/>
    <mergeCell ref="O46:O47"/>
    <mergeCell ref="P46:P47"/>
    <mergeCell ref="Q46:Q47"/>
    <mergeCell ref="P50:P51"/>
    <mergeCell ref="Q50:Q51"/>
    <mergeCell ref="AH50:AH51"/>
    <mergeCell ref="AI50:AI51"/>
    <mergeCell ref="AJ50:AJ51"/>
    <mergeCell ref="A46:A47"/>
    <mergeCell ref="B46:B47"/>
    <mergeCell ref="C46:C47"/>
    <mergeCell ref="AH54:AH55"/>
    <mergeCell ref="AI54:AI55"/>
    <mergeCell ref="AJ54:AJ55"/>
    <mergeCell ref="AK50:AK51"/>
    <mergeCell ref="J50:J51"/>
    <mergeCell ref="K50:K51"/>
    <mergeCell ref="L50:L51"/>
    <mergeCell ref="M50:M51"/>
    <mergeCell ref="N50:N51"/>
    <mergeCell ref="O50:O51"/>
    <mergeCell ref="AK48:AK49"/>
    <mergeCell ref="A50:A51"/>
    <mergeCell ref="B50:B51"/>
    <mergeCell ref="C50:C51"/>
    <mergeCell ref="D50:D51"/>
    <mergeCell ref="E50:E51"/>
    <mergeCell ref="F50:F51"/>
    <mergeCell ref="G50:G89"/>
    <mergeCell ref="H50:H89"/>
    <mergeCell ref="I50:I51"/>
    <mergeCell ref="O48:O49"/>
    <mergeCell ref="P48:P49"/>
    <mergeCell ref="Q48:Q49"/>
    <mergeCell ref="AH48:AH49"/>
    <mergeCell ref="AI48:AI49"/>
    <mergeCell ref="AJ48:AJ49"/>
    <mergeCell ref="I48:I49"/>
    <mergeCell ref="AK52:AK53"/>
    <mergeCell ref="A54:A55"/>
    <mergeCell ref="B54:B55"/>
    <mergeCell ref="C54:C55"/>
    <mergeCell ref="D54:D55"/>
    <mergeCell ref="E54:E55"/>
    <mergeCell ref="F54:F55"/>
    <mergeCell ref="I54:I55"/>
    <mergeCell ref="J54:J55"/>
    <mergeCell ref="K54:K55"/>
    <mergeCell ref="O52:O53"/>
    <mergeCell ref="P52:P53"/>
    <mergeCell ref="Q52:Q53"/>
    <mergeCell ref="AH52:AH53"/>
    <mergeCell ref="AI52:AI53"/>
    <mergeCell ref="AJ52:AJ53"/>
    <mergeCell ref="AK56:AK57"/>
    <mergeCell ref="L52:L53"/>
    <mergeCell ref="M52:M53"/>
    <mergeCell ref="N52:N53"/>
    <mergeCell ref="A52:A53"/>
    <mergeCell ref="B52:B53"/>
    <mergeCell ref="C52:C53"/>
    <mergeCell ref="D52:D53"/>
    <mergeCell ref="E52:E53"/>
    <mergeCell ref="F52:F53"/>
    <mergeCell ref="O56:O57"/>
    <mergeCell ref="P56:P57"/>
    <mergeCell ref="Q56:Q57"/>
    <mergeCell ref="AH56:AH57"/>
    <mergeCell ref="AI56:AI57"/>
    <mergeCell ref="AJ56:AJ57"/>
    <mergeCell ref="I56:I57"/>
    <mergeCell ref="J56:J57"/>
    <mergeCell ref="K56:K57"/>
    <mergeCell ref="L56:L57"/>
    <mergeCell ref="M56:M57"/>
    <mergeCell ref="N56:N57"/>
    <mergeCell ref="AK54:AK55"/>
    <mergeCell ref="A56:A57"/>
    <mergeCell ref="B56:B57"/>
    <mergeCell ref="C56:C57"/>
    <mergeCell ref="D56:D57"/>
    <mergeCell ref="E56:E57"/>
    <mergeCell ref="F56:F57"/>
    <mergeCell ref="L54:L55"/>
    <mergeCell ref="M54:M55"/>
    <mergeCell ref="N54:N55"/>
    <mergeCell ref="O54:O55"/>
    <mergeCell ref="P54:P55"/>
    <mergeCell ref="Q54:Q55"/>
    <mergeCell ref="I60:I61"/>
    <mergeCell ref="J60:J61"/>
    <mergeCell ref="K60:K61"/>
    <mergeCell ref="L60:L61"/>
    <mergeCell ref="M60:M61"/>
    <mergeCell ref="N60:N61"/>
    <mergeCell ref="AH58:AH59"/>
    <mergeCell ref="AI58:AI59"/>
    <mergeCell ref="AJ58:AJ59"/>
    <mergeCell ref="AK58:AK59"/>
    <mergeCell ref="A60:A61"/>
    <mergeCell ref="B60:B61"/>
    <mergeCell ref="C60:C61"/>
    <mergeCell ref="D60:D61"/>
    <mergeCell ref="E60:E61"/>
    <mergeCell ref="F60:F61"/>
    <mergeCell ref="L58:L59"/>
    <mergeCell ref="M58:M59"/>
    <mergeCell ref="AK64:AK65"/>
    <mergeCell ref="N58:N59"/>
    <mergeCell ref="O58:O59"/>
    <mergeCell ref="P58:P59"/>
    <mergeCell ref="Q58:Q59"/>
    <mergeCell ref="A58:A59"/>
    <mergeCell ref="B58:B59"/>
    <mergeCell ref="C58:C59"/>
    <mergeCell ref="D58:D59"/>
    <mergeCell ref="E58:E59"/>
    <mergeCell ref="F58:F59"/>
    <mergeCell ref="I58:I59"/>
    <mergeCell ref="J58:J59"/>
    <mergeCell ref="K58:K59"/>
    <mergeCell ref="AH62:AH63"/>
    <mergeCell ref="AI62:AI63"/>
    <mergeCell ref="AJ62:AJ63"/>
    <mergeCell ref="AK62:AK63"/>
    <mergeCell ref="L62:L63"/>
    <mergeCell ref="M62:M63"/>
    <mergeCell ref="N62:N63"/>
    <mergeCell ref="O62:O63"/>
    <mergeCell ref="P62:P63"/>
    <mergeCell ref="Q62:Q63"/>
    <mergeCell ref="AK60:AK61"/>
    <mergeCell ref="A62:A63"/>
    <mergeCell ref="B62:B63"/>
    <mergeCell ref="C62:C63"/>
    <mergeCell ref="D62:D63"/>
    <mergeCell ref="E62:E63"/>
    <mergeCell ref="F62:F63"/>
    <mergeCell ref="I62:I63"/>
    <mergeCell ref="J62:J63"/>
    <mergeCell ref="K62:K63"/>
    <mergeCell ref="O60:O61"/>
    <mergeCell ref="P60:P61"/>
    <mergeCell ref="Q60:Q61"/>
    <mergeCell ref="AH60:AH61"/>
    <mergeCell ref="AI60:AI61"/>
    <mergeCell ref="AJ60:AJ61"/>
    <mergeCell ref="O64:O65"/>
    <mergeCell ref="P64:P65"/>
    <mergeCell ref="Q64:Q65"/>
    <mergeCell ref="AH64:AH65"/>
    <mergeCell ref="AI64:AI65"/>
    <mergeCell ref="AJ64:AJ65"/>
    <mergeCell ref="I64:I65"/>
    <mergeCell ref="J64:J65"/>
    <mergeCell ref="K64:K65"/>
    <mergeCell ref="L64:L65"/>
    <mergeCell ref="M64:M65"/>
    <mergeCell ref="N64:N65"/>
    <mergeCell ref="A64:A65"/>
    <mergeCell ref="B64:B65"/>
    <mergeCell ref="C64:C65"/>
    <mergeCell ref="D64:D65"/>
    <mergeCell ref="E64:E65"/>
    <mergeCell ref="F64:F65"/>
    <mergeCell ref="I68:I69"/>
    <mergeCell ref="J68:J69"/>
    <mergeCell ref="K68:K69"/>
    <mergeCell ref="L68:L69"/>
    <mergeCell ref="M68:M69"/>
    <mergeCell ref="N68:N69"/>
    <mergeCell ref="AH66:AH67"/>
    <mergeCell ref="AI66:AI67"/>
    <mergeCell ref="AJ66:AJ67"/>
    <mergeCell ref="AK66:AK67"/>
    <mergeCell ref="A68:A69"/>
    <mergeCell ref="B68:B69"/>
    <mergeCell ref="C68:C69"/>
    <mergeCell ref="D68:D69"/>
    <mergeCell ref="E68:E69"/>
    <mergeCell ref="F68:F69"/>
    <mergeCell ref="L66:L67"/>
    <mergeCell ref="M66:M67"/>
    <mergeCell ref="N66:N67"/>
    <mergeCell ref="O66:O67"/>
    <mergeCell ref="P66:P67"/>
    <mergeCell ref="Q66:Q67"/>
    <mergeCell ref="A66:A67"/>
    <mergeCell ref="B66:B67"/>
    <mergeCell ref="C66:C67"/>
    <mergeCell ref="D66:D67"/>
    <mergeCell ref="E66:E67"/>
    <mergeCell ref="F66:F67"/>
    <mergeCell ref="I66:I67"/>
    <mergeCell ref="J66:J67"/>
    <mergeCell ref="K66:K67"/>
    <mergeCell ref="AH70:AH71"/>
    <mergeCell ref="AI70:AI71"/>
    <mergeCell ref="AJ70:AJ71"/>
    <mergeCell ref="AK70:AK71"/>
    <mergeCell ref="A72:A73"/>
    <mergeCell ref="B72:B73"/>
    <mergeCell ref="C72:C73"/>
    <mergeCell ref="D72:D73"/>
    <mergeCell ref="E72:E73"/>
    <mergeCell ref="F72:F73"/>
    <mergeCell ref="L70:L71"/>
    <mergeCell ref="M70:M71"/>
    <mergeCell ref="N70:N71"/>
    <mergeCell ref="O70:O71"/>
    <mergeCell ref="P70:P71"/>
    <mergeCell ref="Q70:Q71"/>
    <mergeCell ref="AK68:AK69"/>
    <mergeCell ref="A70:A71"/>
    <mergeCell ref="B70:B71"/>
    <mergeCell ref="C70:C71"/>
    <mergeCell ref="D70:D71"/>
    <mergeCell ref="E70:E71"/>
    <mergeCell ref="F70:F71"/>
    <mergeCell ref="I70:I71"/>
    <mergeCell ref="J70:J71"/>
    <mergeCell ref="K70:K71"/>
    <mergeCell ref="O68:O69"/>
    <mergeCell ref="P68:P69"/>
    <mergeCell ref="Q68:Q69"/>
    <mergeCell ref="AH68:AH69"/>
    <mergeCell ref="AI68:AI69"/>
    <mergeCell ref="AJ68:AJ69"/>
    <mergeCell ref="AK72:AK73"/>
    <mergeCell ref="A74:A75"/>
    <mergeCell ref="B74:B75"/>
    <mergeCell ref="C74:C75"/>
    <mergeCell ref="D74:D75"/>
    <mergeCell ref="E74:E75"/>
    <mergeCell ref="F74:F75"/>
    <mergeCell ref="I74:I75"/>
    <mergeCell ref="J74:J75"/>
    <mergeCell ref="K74:K75"/>
    <mergeCell ref="O72:O73"/>
    <mergeCell ref="P72:P73"/>
    <mergeCell ref="Q72:Q73"/>
    <mergeCell ref="AH72:AH73"/>
    <mergeCell ref="AI72:AI73"/>
    <mergeCell ref="AJ72:AJ73"/>
    <mergeCell ref="I72:I73"/>
    <mergeCell ref="J72:J73"/>
    <mergeCell ref="K72:K73"/>
    <mergeCell ref="L72:L73"/>
    <mergeCell ref="M72:M73"/>
    <mergeCell ref="N72:N73"/>
    <mergeCell ref="I76:I77"/>
    <mergeCell ref="J76:J77"/>
    <mergeCell ref="K76:K77"/>
    <mergeCell ref="L76:L77"/>
    <mergeCell ref="M76:M77"/>
    <mergeCell ref="N76:N77"/>
    <mergeCell ref="AH74:AH75"/>
    <mergeCell ref="AI74:AI75"/>
    <mergeCell ref="AJ74:AJ75"/>
    <mergeCell ref="AK74:AK75"/>
    <mergeCell ref="A76:A77"/>
    <mergeCell ref="B76:B77"/>
    <mergeCell ref="C76:C77"/>
    <mergeCell ref="D76:D77"/>
    <mergeCell ref="E76:E77"/>
    <mergeCell ref="F76:F77"/>
    <mergeCell ref="L74:L75"/>
    <mergeCell ref="M74:M75"/>
    <mergeCell ref="N74:N75"/>
    <mergeCell ref="O74:O75"/>
    <mergeCell ref="P74:P75"/>
    <mergeCell ref="Q74:Q75"/>
    <mergeCell ref="AH78:AH79"/>
    <mergeCell ref="AI78:AI79"/>
    <mergeCell ref="AJ78:AJ79"/>
    <mergeCell ref="AK78:AK79"/>
    <mergeCell ref="A80:A81"/>
    <mergeCell ref="B80:B81"/>
    <mergeCell ref="C80:C81"/>
    <mergeCell ref="D80:D81"/>
    <mergeCell ref="E80:E81"/>
    <mergeCell ref="F80:F81"/>
    <mergeCell ref="L78:L79"/>
    <mergeCell ref="M78:M79"/>
    <mergeCell ref="N78:N79"/>
    <mergeCell ref="O78:O79"/>
    <mergeCell ref="P78:P79"/>
    <mergeCell ref="Q78:Q79"/>
    <mergeCell ref="AK76:AK77"/>
    <mergeCell ref="A78:A79"/>
    <mergeCell ref="B78:B79"/>
    <mergeCell ref="C78:C79"/>
    <mergeCell ref="D78:D79"/>
    <mergeCell ref="E78:E79"/>
    <mergeCell ref="F78:F79"/>
    <mergeCell ref="I78:I79"/>
    <mergeCell ref="J78:J79"/>
    <mergeCell ref="K78:K79"/>
    <mergeCell ref="O76:O77"/>
    <mergeCell ref="P76:P77"/>
    <mergeCell ref="Q76:Q77"/>
    <mergeCell ref="AH76:AH77"/>
    <mergeCell ref="AI76:AI77"/>
    <mergeCell ref="AJ76:AJ77"/>
    <mergeCell ref="AK80:AK81"/>
    <mergeCell ref="A82:A83"/>
    <mergeCell ref="B82:B83"/>
    <mergeCell ref="C82:C83"/>
    <mergeCell ref="D82:D83"/>
    <mergeCell ref="E82:E83"/>
    <mergeCell ref="F82:F83"/>
    <mergeCell ref="I82:I83"/>
    <mergeCell ref="J82:J83"/>
    <mergeCell ref="K82:K83"/>
    <mergeCell ref="O80:O81"/>
    <mergeCell ref="P80:P81"/>
    <mergeCell ref="Q80:Q81"/>
    <mergeCell ref="AH80:AH81"/>
    <mergeCell ref="AI80:AI81"/>
    <mergeCell ref="AJ80:AJ81"/>
    <mergeCell ref="I80:I81"/>
    <mergeCell ref="J80:J81"/>
    <mergeCell ref="K80:K81"/>
    <mergeCell ref="L80:L81"/>
    <mergeCell ref="M80:M81"/>
    <mergeCell ref="N80:N81"/>
    <mergeCell ref="I84:I85"/>
    <mergeCell ref="J84:J85"/>
    <mergeCell ref="K84:K85"/>
    <mergeCell ref="L84:L85"/>
    <mergeCell ref="M84:M85"/>
    <mergeCell ref="N84:N85"/>
    <mergeCell ref="AH82:AH83"/>
    <mergeCell ref="AI82:AI83"/>
    <mergeCell ref="AJ82:AJ83"/>
    <mergeCell ref="AK82:AK83"/>
    <mergeCell ref="A84:A85"/>
    <mergeCell ref="B84:B85"/>
    <mergeCell ref="C84:C85"/>
    <mergeCell ref="D84:D85"/>
    <mergeCell ref="E84:E85"/>
    <mergeCell ref="F84:F85"/>
    <mergeCell ref="L82:L83"/>
    <mergeCell ref="M82:M83"/>
    <mergeCell ref="N82:N83"/>
    <mergeCell ref="O82:O83"/>
    <mergeCell ref="P82:P83"/>
    <mergeCell ref="Q82:Q83"/>
    <mergeCell ref="AH86:AH87"/>
    <mergeCell ref="AI86:AI87"/>
    <mergeCell ref="AJ86:AJ87"/>
    <mergeCell ref="AK86:AK87"/>
    <mergeCell ref="A88:A89"/>
    <mergeCell ref="B88:B89"/>
    <mergeCell ref="C88:C89"/>
    <mergeCell ref="D88:D89"/>
    <mergeCell ref="E88:E89"/>
    <mergeCell ref="F88:F89"/>
    <mergeCell ref="L86:L87"/>
    <mergeCell ref="M86:M87"/>
    <mergeCell ref="N86:N87"/>
    <mergeCell ref="O86:O87"/>
    <mergeCell ref="P86:P87"/>
    <mergeCell ref="Q86:Q87"/>
    <mergeCell ref="AK84:AK85"/>
    <mergeCell ref="A86:A87"/>
    <mergeCell ref="B86:B87"/>
    <mergeCell ref="C86:C87"/>
    <mergeCell ref="D86:D87"/>
    <mergeCell ref="E86:E87"/>
    <mergeCell ref="F86:F87"/>
    <mergeCell ref="I86:I87"/>
    <mergeCell ref="J86:J87"/>
    <mergeCell ref="K86:K87"/>
    <mergeCell ref="O84:O85"/>
    <mergeCell ref="P84:P85"/>
    <mergeCell ref="Q84:Q85"/>
    <mergeCell ref="AH84:AH85"/>
    <mergeCell ref="AI84:AI85"/>
    <mergeCell ref="AJ84:AJ85"/>
    <mergeCell ref="AK88:AK89"/>
    <mergeCell ref="A90:A91"/>
    <mergeCell ref="B90:B91"/>
    <mergeCell ref="C90:C91"/>
    <mergeCell ref="D90:D91"/>
    <mergeCell ref="E90:E91"/>
    <mergeCell ref="F90:F91"/>
    <mergeCell ref="G90:G99"/>
    <mergeCell ref="H90:H99"/>
    <mergeCell ref="I90:I91"/>
    <mergeCell ref="O88:O89"/>
    <mergeCell ref="P88:P89"/>
    <mergeCell ref="Q88:Q89"/>
    <mergeCell ref="AH88:AH89"/>
    <mergeCell ref="AI88:AI89"/>
    <mergeCell ref="AJ88:AJ89"/>
    <mergeCell ref="I88:I89"/>
    <mergeCell ref="J88:J89"/>
    <mergeCell ref="K88:K89"/>
    <mergeCell ref="L88:L89"/>
    <mergeCell ref="M88:M89"/>
    <mergeCell ref="N88:N89"/>
    <mergeCell ref="I92:I93"/>
    <mergeCell ref="J92:J93"/>
    <mergeCell ref="K92:K93"/>
    <mergeCell ref="N92:N93"/>
    <mergeCell ref="A92:A93"/>
    <mergeCell ref="B92:B93"/>
    <mergeCell ref="C92:C93"/>
    <mergeCell ref="D92:D93"/>
    <mergeCell ref="E92:E93"/>
    <mergeCell ref="F92:F93"/>
    <mergeCell ref="P90:P91"/>
    <mergeCell ref="Q90:Q91"/>
    <mergeCell ref="AH90:AH91"/>
    <mergeCell ref="AI90:AI91"/>
    <mergeCell ref="AJ90:AJ91"/>
    <mergeCell ref="AH94:AH95"/>
    <mergeCell ref="AI94:AI95"/>
    <mergeCell ref="AJ94:AJ95"/>
    <mergeCell ref="AK90:AK91"/>
    <mergeCell ref="J90:J91"/>
    <mergeCell ref="K90:K91"/>
    <mergeCell ref="L90:L91"/>
    <mergeCell ref="M90:M91"/>
    <mergeCell ref="N90:N91"/>
    <mergeCell ref="O90:O91"/>
    <mergeCell ref="AK94:AK95"/>
    <mergeCell ref="A96:A97"/>
    <mergeCell ref="B96:B97"/>
    <mergeCell ref="C96:C97"/>
    <mergeCell ref="D96:D97"/>
    <mergeCell ref="E96:E97"/>
    <mergeCell ref="F96:F97"/>
    <mergeCell ref="L94:L95"/>
    <mergeCell ref="M94:M95"/>
    <mergeCell ref="N94:N95"/>
    <mergeCell ref="O94:O95"/>
    <mergeCell ref="P94:P95"/>
    <mergeCell ref="Q94:Q95"/>
    <mergeCell ref="AK92:AK93"/>
    <mergeCell ref="A94:A95"/>
    <mergeCell ref="B94:B95"/>
    <mergeCell ref="C94:C95"/>
    <mergeCell ref="D94:D95"/>
    <mergeCell ref="E94:E95"/>
    <mergeCell ref="F94:F95"/>
    <mergeCell ref="I94:I95"/>
    <mergeCell ref="J94:J95"/>
    <mergeCell ref="K94:K95"/>
    <mergeCell ref="O92:O93"/>
    <mergeCell ref="P92:P93"/>
    <mergeCell ref="Q92:Q93"/>
    <mergeCell ref="AH92:AH93"/>
    <mergeCell ref="AI92:AI93"/>
    <mergeCell ref="AJ92:AJ93"/>
    <mergeCell ref="AK96:AK97"/>
    <mergeCell ref="L92:L93"/>
    <mergeCell ref="M92:M93"/>
    <mergeCell ref="E98:E99"/>
    <mergeCell ref="F98:F99"/>
    <mergeCell ref="I98:I99"/>
    <mergeCell ref="J98:J99"/>
    <mergeCell ref="K98:K99"/>
    <mergeCell ref="O96:O97"/>
    <mergeCell ref="P96:P97"/>
    <mergeCell ref="Q96:Q97"/>
    <mergeCell ref="AH96:AH97"/>
    <mergeCell ref="AI96:AI97"/>
    <mergeCell ref="AJ96:AJ97"/>
    <mergeCell ref="I96:I97"/>
    <mergeCell ref="J96:J97"/>
    <mergeCell ref="K96:K97"/>
    <mergeCell ref="L96:L97"/>
    <mergeCell ref="M96:M97"/>
    <mergeCell ref="N96:N97"/>
    <mergeCell ref="G100:G103"/>
    <mergeCell ref="H100:H103"/>
    <mergeCell ref="I100:I101"/>
    <mergeCell ref="J100:J101"/>
    <mergeCell ref="K100:K101"/>
    <mergeCell ref="L100:L101"/>
    <mergeCell ref="J102:J103"/>
    <mergeCell ref="K102:K103"/>
    <mergeCell ref="L102:L103"/>
    <mergeCell ref="AH98:AH99"/>
    <mergeCell ref="AI98:AI99"/>
    <mergeCell ref="AJ98:AJ99"/>
    <mergeCell ref="AK98:AK99"/>
    <mergeCell ref="A100:A101"/>
    <mergeCell ref="B100:B101"/>
    <mergeCell ref="C100:C101"/>
    <mergeCell ref="D100:D101"/>
    <mergeCell ref="E100:E101"/>
    <mergeCell ref="F100:F101"/>
    <mergeCell ref="L98:L99"/>
    <mergeCell ref="M98:M99"/>
    <mergeCell ref="N98:N99"/>
    <mergeCell ref="O98:O99"/>
    <mergeCell ref="P98:P99"/>
    <mergeCell ref="Q98:Q99"/>
    <mergeCell ref="AI102:AI103"/>
    <mergeCell ref="AJ102:AJ103"/>
    <mergeCell ref="AK102:AK103"/>
    <mergeCell ref="A98:A99"/>
    <mergeCell ref="B98:B99"/>
    <mergeCell ref="C98:C99"/>
    <mergeCell ref="D98:D99"/>
    <mergeCell ref="A104:A105"/>
    <mergeCell ref="B104:B105"/>
    <mergeCell ref="C104:C105"/>
    <mergeCell ref="D104:D105"/>
    <mergeCell ref="E104:E105"/>
    <mergeCell ref="F104:F105"/>
    <mergeCell ref="G104:G115"/>
    <mergeCell ref="M102:M103"/>
    <mergeCell ref="N102:N103"/>
    <mergeCell ref="O102:O103"/>
    <mergeCell ref="P102:P103"/>
    <mergeCell ref="Q102:Q103"/>
    <mergeCell ref="AH102:AH103"/>
    <mergeCell ref="AI100:AI101"/>
    <mergeCell ref="AJ100:AJ101"/>
    <mergeCell ref="AK100:AK101"/>
    <mergeCell ref="A102:A103"/>
    <mergeCell ref="B102:B103"/>
    <mergeCell ref="C102:C103"/>
    <mergeCell ref="D102:D103"/>
    <mergeCell ref="E102:E103"/>
    <mergeCell ref="F102:F103"/>
    <mergeCell ref="I102:I103"/>
    <mergeCell ref="M100:M101"/>
    <mergeCell ref="N100:N101"/>
    <mergeCell ref="O100:O101"/>
    <mergeCell ref="P100:P101"/>
    <mergeCell ref="Q100:Q101"/>
    <mergeCell ref="AH100:AH101"/>
    <mergeCell ref="AJ104:AJ105"/>
    <mergeCell ref="AK104:AK105"/>
    <mergeCell ref="A106:A107"/>
    <mergeCell ref="N104:N105"/>
    <mergeCell ref="O104:O105"/>
    <mergeCell ref="P104:P105"/>
    <mergeCell ref="Q104:Q105"/>
    <mergeCell ref="AH104:AH105"/>
    <mergeCell ref="AI104:AI105"/>
    <mergeCell ref="H104:H115"/>
    <mergeCell ref="I104:I105"/>
    <mergeCell ref="J104:J105"/>
    <mergeCell ref="K104:K105"/>
    <mergeCell ref="L104:L105"/>
    <mergeCell ref="M104:M105"/>
    <mergeCell ref="K106:K107"/>
    <mergeCell ref="L106:L107"/>
    <mergeCell ref="M106:M107"/>
    <mergeCell ref="K108:K109"/>
    <mergeCell ref="AH108:AH109"/>
    <mergeCell ref="AI108:AI109"/>
    <mergeCell ref="L112:L113"/>
    <mergeCell ref="M112:M113"/>
    <mergeCell ref="N112:N113"/>
    <mergeCell ref="O112:O113"/>
    <mergeCell ref="P112:P113"/>
    <mergeCell ref="Q112:Q113"/>
    <mergeCell ref="O114:O115"/>
    <mergeCell ref="M110:M111"/>
    <mergeCell ref="N110:N111"/>
    <mergeCell ref="AI112:AI113"/>
    <mergeCell ref="N106:N107"/>
    <mergeCell ref="O106:O107"/>
    <mergeCell ref="P106:P107"/>
    <mergeCell ref="Q106:Q107"/>
    <mergeCell ref="AH106:AH107"/>
    <mergeCell ref="AI106:AI107"/>
    <mergeCell ref="AK110:AK111"/>
    <mergeCell ref="B106:B107"/>
    <mergeCell ref="C106:C107"/>
    <mergeCell ref="D106:D107"/>
    <mergeCell ref="E106:E107"/>
    <mergeCell ref="F106:F107"/>
    <mergeCell ref="I106:I107"/>
    <mergeCell ref="J106:J107"/>
    <mergeCell ref="Q110:Q111"/>
    <mergeCell ref="AH110:AH111"/>
    <mergeCell ref="AI110:AI111"/>
    <mergeCell ref="AJ110:AJ111"/>
    <mergeCell ref="I110:I111"/>
    <mergeCell ref="J110:J111"/>
    <mergeCell ref="K110:K111"/>
    <mergeCell ref="L110:L111"/>
    <mergeCell ref="A110:A111"/>
    <mergeCell ref="B110:B111"/>
    <mergeCell ref="C110:C111"/>
    <mergeCell ref="D110:D111"/>
    <mergeCell ref="E110:E111"/>
    <mergeCell ref="F110:F111"/>
    <mergeCell ref="L108:L109"/>
    <mergeCell ref="M108:M109"/>
    <mergeCell ref="N108:N109"/>
    <mergeCell ref="O108:O109"/>
    <mergeCell ref="P108:P109"/>
    <mergeCell ref="Q108:Q109"/>
    <mergeCell ref="A114:A115"/>
    <mergeCell ref="B114:B115"/>
    <mergeCell ref="C114:C115"/>
    <mergeCell ref="D114:D115"/>
    <mergeCell ref="E114:E115"/>
    <mergeCell ref="F114:F115"/>
    <mergeCell ref="A112:A113"/>
    <mergeCell ref="B112:B113"/>
    <mergeCell ref="C112:C113"/>
    <mergeCell ref="D112:D113"/>
    <mergeCell ref="E112:E113"/>
    <mergeCell ref="F112:F113"/>
    <mergeCell ref="I112:I113"/>
    <mergeCell ref="J112:J113"/>
    <mergeCell ref="K112:K113"/>
    <mergeCell ref="O110:O111"/>
    <mergeCell ref="P110:P111"/>
    <mergeCell ref="A108:A109"/>
    <mergeCell ref="B108:B109"/>
    <mergeCell ref="C108:C109"/>
    <mergeCell ref="AK6:AK10"/>
    <mergeCell ref="AJ112:AJ113"/>
    <mergeCell ref="AK112:AK113"/>
    <mergeCell ref="AH114:AH115"/>
    <mergeCell ref="AI114:AI115"/>
    <mergeCell ref="AJ114:AJ115"/>
    <mergeCell ref="AK114:AK115"/>
    <mergeCell ref="P114:P115"/>
    <mergeCell ref="Q114:Q115"/>
    <mergeCell ref="B117:B118"/>
    <mergeCell ref="C117:C118"/>
    <mergeCell ref="D117:D118"/>
    <mergeCell ref="E117:E118"/>
    <mergeCell ref="F117:F118"/>
    <mergeCell ref="G117:G118"/>
    <mergeCell ref="M117:M118"/>
    <mergeCell ref="I114:I115"/>
    <mergeCell ref="J114:J115"/>
    <mergeCell ref="K114:K115"/>
    <mergeCell ref="L114:L115"/>
    <mergeCell ref="M114:M115"/>
    <mergeCell ref="N114:N115"/>
    <mergeCell ref="AJ108:AJ109"/>
    <mergeCell ref="AK108:AK109"/>
    <mergeCell ref="AH112:AH113"/>
    <mergeCell ref="AJ106:AJ107"/>
    <mergeCell ref="AK106:AK107"/>
    <mergeCell ref="D108:D109"/>
    <mergeCell ref="E108:E109"/>
    <mergeCell ref="F108:F109"/>
    <mergeCell ref="I108:I109"/>
    <mergeCell ref="J108:J109"/>
  </mergeCells>
  <conditionalFormatting sqref="I4">
    <cfRule type="cellIs" dxfId="89" priority="13" operator="lessThanOrEqual">
      <formula>$C$4</formula>
    </cfRule>
  </conditionalFormatting>
  <conditionalFormatting sqref="J6 T14:T115">
    <cfRule type="cellIs" dxfId="88" priority="14" operator="greaterThanOrEqual">
      <formula>$C$5</formula>
    </cfRule>
    <cfRule type="cellIs" dxfId="87" priority="15" operator="lessThanOrEqual">
      <formula>$C$4</formula>
    </cfRule>
    <cfRule type="cellIs" dxfId="86" priority="16" operator="between">
      <formula>$C$5</formula>
      <formula>$C$4</formula>
    </cfRule>
  </conditionalFormatting>
  <conditionalFormatting sqref="R6">
    <cfRule type="cellIs" dxfId="85" priority="10" operator="greaterThanOrEqual">
      <formula>$I$5</formula>
    </cfRule>
    <cfRule type="cellIs" dxfId="84" priority="11" operator="lessThanOrEqual">
      <formula>$I$4</formula>
    </cfRule>
    <cfRule type="cellIs" dxfId="83" priority="12" operator="between">
      <formula>$I$5</formula>
      <formula>$I$4</formula>
    </cfRule>
  </conditionalFormatting>
  <conditionalFormatting sqref="Y6">
    <cfRule type="cellIs" dxfId="82" priority="7" operator="greaterThanOrEqual">
      <formula>$I$5</formula>
    </cfRule>
    <cfRule type="cellIs" dxfId="81" priority="8" operator="lessThanOrEqual">
      <formula>$I$4</formula>
    </cfRule>
    <cfRule type="cellIs" dxfId="80" priority="9" operator="between">
      <formula>$I$5</formula>
      <formula>$I$4</formula>
    </cfRule>
  </conditionalFormatting>
  <conditionalFormatting sqref="AG6">
    <cfRule type="cellIs" dxfId="79" priority="4" operator="greaterThanOrEqual">
      <formula>$I$5</formula>
    </cfRule>
    <cfRule type="cellIs" dxfId="78" priority="5" operator="lessThanOrEqual">
      <formula>$I$4</formula>
    </cfRule>
    <cfRule type="cellIs" dxfId="77" priority="6" operator="between">
      <formula>$I$5</formula>
      <formula>$I$4</formula>
    </cfRule>
  </conditionalFormatting>
  <conditionalFormatting sqref="AJ6">
    <cfRule type="cellIs" dxfId="76" priority="1" operator="greaterThanOrEqual">
      <formula>$I$5</formula>
    </cfRule>
    <cfRule type="cellIs" dxfId="75" priority="2" operator="lessThanOrEqual">
      <formula>$I$4</formula>
    </cfRule>
    <cfRule type="cellIs" dxfId="74" priority="3" operator="between">
      <formula>$I$5</formula>
      <formula>$I$4</formula>
    </cfRule>
  </conditionalFormatting>
  <dataValidations xWindow="1003" yWindow="698" count="8">
    <dataValidation type="list" allowBlank="1" showInputMessage="1" showErrorMessage="1" sqref="B14:B115" xr:uid="{B1FC4F8D-6E99-4653-AF8B-873516719682}">
      <formula1>$B$117:$B$124</formula1>
    </dataValidation>
    <dataValidation type="list" allowBlank="1" showInputMessage="1" showErrorMessage="1" sqref="C14:C115" xr:uid="{D25FE784-5C18-4506-964C-DFEAED92CA2C}">
      <formula1>$C$117:$C$126</formula1>
    </dataValidation>
    <dataValidation type="list" allowBlank="1" showInputMessage="1" showErrorMessage="1" sqref="D14:D115" xr:uid="{44632922-CB85-4F7C-97A5-E2DF8956E43E}">
      <formula1>$D$117:$D$123</formula1>
    </dataValidation>
    <dataValidation type="list" allowBlank="1" showInputMessage="1" showErrorMessage="1" sqref="E14:E115" xr:uid="{BBACE18B-E7DD-49A8-BB46-FA3B840B6AD2}">
      <formula1>$E$117:$E$135</formula1>
    </dataValidation>
    <dataValidation allowBlank="1" showErrorMessage="1" sqref="T14:T115" xr:uid="{B24046B2-994B-4480-AA34-58C51BDE0F22}"/>
    <dataValidation type="decimal" allowBlank="1" showInputMessage="1" showErrorMessage="1" prompt="valor porcentual de la activida - Indique el peso porcentual de la actividad dentro del proyecto" sqref="S14 S20 S16 S112 S18 S24 S22 S106 S26 S28 S30 S32 S34 S36 S38 S40 S42 S44 S46 S48 S50 S52 S54 S56 S58 S60 S62 S64 S66 S68 S70 S72 S74 S76 S78 S80 S82 S84 S86 S88 S90 S92 S94 S96 S98 S100 S102 S104 S108 S110 S114" xr:uid="{E31D7F84-B24A-4B83-999D-29FF68804474}">
      <formula1>0</formula1>
      <formula2>1</formula2>
    </dataValidation>
    <dataValidation type="decimal" allowBlank="1" showInputMessage="1" showErrorMessage="1" prompt="campo calculado  - indica el % de avance  que aporta la activadad a todo el proyecto" sqref="S19 S17 S113 S15 S107 S23 S21 S105 S25 S27 S29 S31 S33 S35 S37 S39 S41 S43 S45 S47 S49 S51 S53 S55 S57 S59 S61 S63 S65 S67 S69 S71 S73 S75 S77 S79 S81 S83 S85 S87 S89 S91 S93 S95 S97 S99 S101 S103 S109 S111 S115" xr:uid="{223DA5E1-3308-462C-810A-5CC65B11521D}">
      <formula1>0</formula1>
      <formula2>1</formula2>
    </dataValidation>
    <dataValidation type="decimal" allowBlank="1" showInputMessage="1" showErrorMessage="1" prompt="% de avance en la actividad - indique el % programado de avance durante esta semana_x000a_" sqref="W62:AG62 U36:Z36 Z14:AF22 W20:W35 U25:V35 U39 U62 U20:V23 U18:V18 U72:Y72 U14:W17 U19:W19 AA23:AF36 U63:AG71 AA72:AG72 X14:Y35 AG14:AG36 U40:AG61 V38:AG39 U37:AG37 Z23:Z35 U73:AG115" xr:uid="{D6F41A79-CB44-4CDC-BC6D-D9619AB0945B}">
      <formula1>0</formula1>
      <formula2>1</formula2>
    </dataValidation>
  </dataValidations>
  <pageMargins left="0.7" right="0.7" top="0.75" bottom="0.75" header="0.3" footer="0.3"/>
  <pageSetup scale="12" orientation="portrait" r:id="rId1"/>
  <headerFooter>
    <oddFooter>&amp;C_x000D_&amp;1#&amp;"Calibri"&amp;10&amp;K008000 DOCUMENTO PÚBLICO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49BB54355EBC0479588B58EF1646E9D" ma:contentTypeVersion="17" ma:contentTypeDescription="Crear nuevo documento." ma:contentTypeScope="" ma:versionID="0984d22420d0ffe286666c0938a44761">
  <xsd:schema xmlns:xsd="http://www.w3.org/2001/XMLSchema" xmlns:xs="http://www.w3.org/2001/XMLSchema" xmlns:p="http://schemas.microsoft.com/office/2006/metadata/properties" xmlns:ns2="c8f692e2-7f23-4b51-918d-31b649eae9bb" xmlns:ns3="e6cd777c-5c62-468f-8590-df061bf39fc1" targetNamespace="http://schemas.microsoft.com/office/2006/metadata/properties" ma:root="true" ma:fieldsID="874e34f794ae785297270ed16b6074ea" ns2:_="" ns3:_="">
    <xsd:import namespace="c8f692e2-7f23-4b51-918d-31b649eae9bb"/>
    <xsd:import namespace="e6cd777c-5c62-468f-8590-df061bf39f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92e2-7f23-4b51-918d-31b649eae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cd777c-5c62-468f-8590-df061bf39fc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e088b56-7797-45fb-887d-01e35945cbb8}" ma:internalName="TaxCatchAll" ma:showField="CatchAllData" ma:web="e6cd777c-5c62-468f-8590-df061bf39f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f692e2-7f23-4b51-918d-31b649eae9bb">
      <Terms xmlns="http://schemas.microsoft.com/office/infopath/2007/PartnerControls"/>
    </lcf76f155ced4ddcb4097134ff3c332f>
    <TaxCatchAll xmlns="e6cd777c-5c62-468f-8590-df061bf39fc1" xsi:nil="true"/>
    <SharedWithUsers xmlns="e6cd777c-5c62-468f-8590-df061bf39fc1">
      <UserInfo>
        <DisplayName>JASON ARMANDO REYES</DisplayName>
        <AccountId>18</AccountId>
        <AccountType/>
      </UserInfo>
      <UserInfo>
        <DisplayName>NATALIA GOMEZ</DisplayName>
        <AccountId>10</AccountId>
        <AccountType/>
      </UserInfo>
      <UserInfo>
        <DisplayName>ANDREA YANETH MANTILLA</DisplayName>
        <AccountId>112</AccountId>
        <AccountType/>
      </UserInfo>
      <UserInfo>
        <DisplayName>RODRIGO IGNACIO FRANCO</DisplayName>
        <AccountId>915</AccountId>
        <AccountType/>
      </UserInfo>
      <UserInfo>
        <DisplayName>JUAN DAVID SANCHEZ DAZA</DisplayName>
        <AccountId>32</AccountId>
        <AccountType/>
      </UserInfo>
      <UserInfo>
        <DisplayName>DIANA PAOLA ARAGON RAMOS</DisplayName>
        <AccountId>23</AccountId>
        <AccountType/>
      </UserInfo>
      <UserInfo>
        <DisplayName>YULY ALEJANDRA RUIZ MENJURA</DisplayName>
        <AccountId>222</AccountId>
        <AccountType/>
      </UserInfo>
      <UserInfo>
        <DisplayName>CLAUDIA MILENA SANTAMARIA CAMACHO</DisplayName>
        <AccountId>26</AccountId>
        <AccountType/>
      </UserInfo>
      <UserInfo>
        <DisplayName>JUAN CAMILO PACHECO HERRERA</DisplayName>
        <AccountId>106</AccountId>
        <AccountType/>
      </UserInfo>
      <UserInfo>
        <DisplayName>MARYORI CAROLINA GUACANEME BARRAGAN</DisplayName>
        <AccountId>541</AccountId>
        <AccountType/>
      </UserInfo>
      <UserInfo>
        <DisplayName>ELIANA DEL CARMEN ROYS</DisplayName>
        <AccountId>842</AccountId>
        <AccountType/>
      </UserInfo>
      <UserInfo>
        <DisplayName>KATERINE ALVARADO</DisplayName>
        <AccountId>637</AccountId>
        <AccountType/>
      </UserInfo>
      <UserInfo>
        <DisplayName>LIANA YANYDYS ABRIL</DisplayName>
        <AccountId>380</AccountId>
        <AccountType/>
      </UserInfo>
      <UserInfo>
        <DisplayName>ANGELICA MARIA QUITIAN</DisplayName>
        <AccountId>916</AccountId>
        <AccountType/>
      </UserInfo>
      <UserInfo>
        <DisplayName>MAYERLY  CONSUELO  LOPEZ</DisplayName>
        <AccountId>363</AccountId>
        <AccountType/>
      </UserInfo>
      <UserInfo>
        <DisplayName>MIGUEL ANGEL RUEDA</DisplayName>
        <AccountId>60</AccountId>
        <AccountType/>
      </UserInfo>
      <UserInfo>
        <DisplayName>CARLOS ALBERTO ARIAS</DisplayName>
        <AccountId>243</AccountId>
        <AccountType/>
      </UserInfo>
      <UserInfo>
        <DisplayName>LORENA PEDROZA CRUZ</DisplayName>
        <AccountId>275</AccountId>
        <AccountType/>
      </UserInfo>
      <UserInfo>
        <DisplayName>SAUL MARTIN BALLESTEROS MORENO</DisplayName>
        <AccountId>24</AccountId>
        <AccountType/>
      </UserInfo>
      <UserInfo>
        <DisplayName>LEYDI PAOLA PADILLA TEQUIA</DisplayName>
        <AccountId>397</AccountId>
        <AccountType/>
      </UserInfo>
      <UserInfo>
        <DisplayName>CAROLINA VARGAS</DisplayName>
        <AccountId>111</AccountId>
        <AccountType/>
      </UserInfo>
      <UserInfo>
        <DisplayName>SANDRA PATRICIA CEDIEL BRAVO</DisplayName>
        <AccountId>79</AccountId>
        <AccountType/>
      </UserInfo>
      <UserInfo>
        <DisplayName>DAVID RICARDO MARIN</DisplayName>
        <AccountId>918</AccountId>
        <AccountType/>
      </UserInfo>
      <UserInfo>
        <DisplayName>SEBASTIAN CAMILO RIVERA</DisplayName>
        <AccountId>298</AccountId>
        <AccountType/>
      </UserInfo>
      <UserInfo>
        <DisplayName>JOSE ANTONIO VARGAS</DisplayName>
        <AccountId>891</AccountId>
        <AccountType/>
      </UserInfo>
      <UserInfo>
        <DisplayName>MITZI TATIANA FERRO</DisplayName>
        <AccountId>33</AccountId>
        <AccountType/>
      </UserInfo>
    </SharedWithUsers>
  </documentManagement>
</p:properties>
</file>

<file path=customXml/itemProps1.xml><?xml version="1.0" encoding="utf-8"?>
<ds:datastoreItem xmlns:ds="http://schemas.openxmlformats.org/officeDocument/2006/customXml" ds:itemID="{602505BF-5B35-4807-9ADE-1EE76E411513}">
  <ds:schemaRefs>
    <ds:schemaRef ds:uri="http://schemas.microsoft.com/sharepoint/v3/contenttype/forms"/>
  </ds:schemaRefs>
</ds:datastoreItem>
</file>

<file path=customXml/itemProps2.xml><?xml version="1.0" encoding="utf-8"?>
<ds:datastoreItem xmlns:ds="http://schemas.openxmlformats.org/officeDocument/2006/customXml" ds:itemID="{4CAE9D18-2B96-4CD7-9F46-BDD719EF4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692e2-7f23-4b51-918d-31b649eae9bb"/>
    <ds:schemaRef ds:uri="e6cd777c-5c62-468f-8590-df061bf39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8BCDC2-46A3-4366-A1B6-26DEEA4FD53E}">
  <ds:schemaRefs>
    <ds:schemaRef ds:uri="http://purl.org/dc/terms/"/>
    <ds:schemaRef ds:uri="http://purl.org/dc/elements/1.1/"/>
    <ds:schemaRef ds:uri="e6cd777c-5c62-468f-8590-df061bf39fc1"/>
    <ds:schemaRef ds:uri="http://www.w3.org/XML/1998/namespace"/>
    <ds:schemaRef ds:uri="http://schemas.microsoft.com/office/2006/documentManagement/types"/>
    <ds:schemaRef ds:uri="http://schemas.microsoft.com/office/2006/metadata/properties"/>
    <ds:schemaRef ds:uri="c8f692e2-7f23-4b51-918d-31b649eae9bb"/>
    <ds:schemaRef ds:uri="http://schemas.microsoft.com/office/infopath/2007/PartnerControl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INICIO</vt:lpstr>
      <vt:lpstr>01. SECTORIAL</vt:lpstr>
      <vt:lpstr>01. INSTITUCIONAL</vt:lpstr>
      <vt:lpstr>02. PINAR</vt:lpstr>
      <vt:lpstr>03. PAA</vt:lpstr>
      <vt:lpstr>06. PETH</vt:lpstr>
      <vt:lpstr>07. PIC</vt:lpstr>
      <vt:lpstr>08. PII</vt:lpstr>
      <vt:lpstr>09. PSST</vt:lpstr>
      <vt:lpstr>10 PAAC</vt:lpstr>
      <vt:lpstr>11.PETI</vt:lpstr>
      <vt:lpstr>12. PTRSPI</vt:lpstr>
      <vt:lpstr>13.PSPI</vt:lpstr>
      <vt:lpstr>'01. INSTITUCIONAL'!Área_de_impresión</vt:lpstr>
      <vt:lpstr>'01. SECTORIAL'!Área_de_impresión</vt:lpstr>
      <vt:lpstr>'02. PINAR'!Área_de_impresión</vt:lpstr>
      <vt:lpstr>'03. PAA'!Área_de_impresión</vt:lpstr>
      <vt:lpstr>'06. PETH'!Área_de_impresión</vt:lpstr>
      <vt:lpstr>'07. PIC'!Área_de_impresión</vt:lpstr>
      <vt:lpstr>'08. PII'!Área_de_impresión</vt:lpstr>
      <vt:lpstr>'09. PSST'!Área_de_impresión</vt:lpstr>
      <vt:lpstr>'10 PAAC'!Área_de_impresión</vt:lpstr>
      <vt:lpstr>'11.PETI'!Área_de_impresión</vt:lpstr>
      <vt:lpstr>INICIO!Área_de_impresión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ARMANDO REYES</dc:creator>
  <cp:keywords/>
  <dc:description/>
  <cp:lastModifiedBy>JASON ARMANDO REYES</cp:lastModifiedBy>
  <cp:revision/>
  <dcterms:created xsi:type="dcterms:W3CDTF">2024-04-17T13:15:44Z</dcterms:created>
  <dcterms:modified xsi:type="dcterms:W3CDTF">2024-05-28T20:11:28Z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2024-04-17T13:15:55Z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6454a197-7de8-4c69-b275-a75210701f3a</vt:lpwstr>
  </property>
  <property fmtid="{D5CDD505-2E9C-101B-9397-08002B2CF9AE}" pid="8" name="MSIP_Label_1f9f3886-688c-41ec-beb5-f6c446299e5f_ContentBits">
    <vt:lpwstr>2</vt:lpwstr>
  </property>
  <property fmtid="{D5CDD505-2E9C-101B-9397-08002B2CF9AE}" pid="9" name="ContentTypeId">
    <vt:lpwstr>0x010100849BB54355EBC0479588B58EF1646E9D</vt:lpwstr>
  </property>
  <property fmtid="{D5CDD505-2E9C-101B-9397-08002B2CF9AE}" pid="10" name="MediaServiceImageTags">
    <vt:lpwstr/>
  </property>
</Properties>
</file>