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namedSheetViews/namedSheetView1.xml" ContentType="application/vnd.ms-excel.namedsheetviews+xml"/>
  <Override PartName="/xl/tables/table2.xml" ContentType="application/vnd.openxmlformats-officedocument.spreadsheetml.table+xml"/>
  <Override PartName="/xl/namedSheetViews/namedSheetView2.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hidePivotFieldList="1" defaultThemeVersion="166925"/>
  <mc:AlternateContent xmlns:mc="http://schemas.openxmlformats.org/markup-compatibility/2006">
    <mc:Choice Requires="x15">
      <x15ac:absPath xmlns:x15ac="http://schemas.microsoft.com/office/spreadsheetml/2010/11/ac" url="https://laprevisora-my.sharepoint.com/personal/sandraj_ramirez_previsora_gov_co/Documents/sandra ramirez D/G. CONTRATACION/Reportes/Contratos vigentes Pagina web/"/>
    </mc:Choice>
  </mc:AlternateContent>
  <xr:revisionPtr revIDLastSave="267" documentId="8_{456A3A07-E38E-48AF-B504-BC3CCA6BA206}" xr6:coauthVersionLast="47" xr6:coauthVersionMax="47" xr10:uidLastSave="{703C205C-272B-405D-928D-6D3287F4C459}"/>
  <bookViews>
    <workbookView xWindow="-110" yWindow="-110" windowWidth="19420" windowHeight="10420" firstSheet="1" activeTab="2" xr2:uid="{EBD74A91-513B-4DFB-9DB6-C96D8A071193}"/>
  </bookViews>
  <sheets>
    <sheet name="Hoja1" sheetId="13" state="hidden" r:id="rId1"/>
    <sheet name="CONTRATOS" sheetId="23" r:id="rId2"/>
    <sheet name="SUCURSALES" sheetId="27" r:id="rId3"/>
    <sheet name="Referencias" sheetId="2" state="hidden" r:id="rId4"/>
  </sheets>
  <definedNames>
    <definedName name="_xlnm._FilterDatabase" localSheetId="1" hidden="1">CONTRATOS!$A$1:$A$1</definedName>
    <definedName name="_xlnm._FilterDatabase" localSheetId="2" hidden="1">SUCURSALES!$B$1:$AH$20</definedName>
    <definedName name="SegmentaciónDeDatos_VICEPRESIDENCIA2">#N/A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66" i="27" l="1"/>
  <c r="AF166" i="27"/>
  <c r="AE166" i="27"/>
  <c r="AD166" i="27"/>
  <c r="AC166" i="27"/>
  <c r="AB166" i="27"/>
  <c r="AA166" i="27"/>
  <c r="Y166" i="27"/>
  <c r="X166" i="27"/>
  <c r="W166" i="27"/>
  <c r="V166" i="27"/>
  <c r="T166" i="27"/>
  <c r="P166" i="27"/>
  <c r="O166" i="27"/>
  <c r="N166" i="27"/>
  <c r="M166" i="27"/>
  <c r="L166" i="27"/>
  <c r="J166" i="27"/>
  <c r="I166" i="27"/>
  <c r="H166" i="27"/>
  <c r="G166" i="27"/>
  <c r="F166" i="27"/>
  <c r="E166" i="27"/>
  <c r="D166" i="27"/>
  <c r="C166" i="27"/>
  <c r="B166" i="27"/>
  <c r="A166" i="27"/>
  <c r="Z165" i="27"/>
  <c r="U165" i="27"/>
  <c r="S165" i="27"/>
  <c r="R165" i="27"/>
  <c r="Z164" i="27"/>
  <c r="U164" i="27"/>
  <c r="S164" i="27"/>
  <c r="R164" i="27"/>
  <c r="AG164" i="27" s="1"/>
  <c r="AG166" i="27" s="1"/>
  <c r="Z163" i="27"/>
  <c r="U163" i="27"/>
  <c r="S163" i="27"/>
  <c r="R163" i="27"/>
  <c r="Z162" i="27"/>
  <c r="U162" i="27"/>
  <c r="S162" i="27"/>
  <c r="R162" i="27"/>
  <c r="Z161" i="27"/>
  <c r="U161" i="27"/>
  <c r="S161" i="27"/>
  <c r="Q161" i="27"/>
  <c r="R161" i="27" s="1"/>
  <c r="Z160" i="27"/>
  <c r="U160" i="27"/>
  <c r="S160" i="27"/>
  <c r="R160" i="27"/>
  <c r="Z159" i="27"/>
  <c r="U159" i="27"/>
  <c r="S159" i="27"/>
  <c r="R159" i="27"/>
  <c r="Z158" i="27"/>
  <c r="U158" i="27"/>
  <c r="S158" i="27"/>
  <c r="Q158" i="27"/>
  <c r="R158" i="27" s="1"/>
  <c r="Z157" i="27"/>
  <c r="S157" i="27"/>
  <c r="Q157" i="27"/>
  <c r="R157" i="27" s="1"/>
  <c r="Z156" i="27"/>
  <c r="S156" i="27"/>
  <c r="R156" i="27"/>
  <c r="Z155" i="27"/>
  <c r="S155" i="27"/>
  <c r="R155" i="27"/>
  <c r="Z154" i="27"/>
  <c r="U154" i="27"/>
  <c r="S154" i="27"/>
  <c r="R154" i="27"/>
  <c r="Z153" i="27"/>
  <c r="U153" i="27"/>
  <c r="S153" i="27"/>
  <c r="K153" i="27"/>
  <c r="K166" i="27" s="1"/>
  <c r="Z152" i="27"/>
  <c r="U152" i="27"/>
  <c r="S152" i="27"/>
  <c r="R152" i="27"/>
  <c r="Z151" i="27"/>
  <c r="U151" i="27"/>
  <c r="S151" i="27"/>
  <c r="R151" i="27"/>
  <c r="Z150" i="27"/>
  <c r="U150" i="27"/>
  <c r="S150" i="27"/>
  <c r="R150" i="27"/>
  <c r="Z149" i="27"/>
  <c r="U149" i="27"/>
  <c r="S149" i="27"/>
  <c r="Q149" i="27"/>
  <c r="R149" i="27" s="1"/>
  <c r="Z148" i="27"/>
  <c r="S148" i="27"/>
  <c r="R148" i="27"/>
  <c r="Z147" i="27"/>
  <c r="S147" i="27"/>
  <c r="R147" i="27"/>
  <c r="Z146" i="27"/>
  <c r="S146" i="27"/>
  <c r="R146" i="27"/>
  <c r="Z145" i="27"/>
  <c r="U145" i="27"/>
  <c r="S145" i="27"/>
  <c r="R145" i="27"/>
  <c r="AK145" i="27" s="1"/>
  <c r="Z144" i="27"/>
  <c r="S144" i="27"/>
  <c r="R144" i="27"/>
  <c r="AK144" i="27" s="1"/>
  <c r="Z143" i="27"/>
  <c r="S143" i="27"/>
  <c r="R143" i="27"/>
  <c r="AK143" i="27" s="1"/>
  <c r="Z142" i="27"/>
  <c r="S142" i="27"/>
  <c r="R142" i="27"/>
  <c r="AK142" i="27" s="1"/>
  <c r="Z141" i="27"/>
  <c r="S141" i="27"/>
  <c r="R141" i="27"/>
  <c r="AK141" i="27" s="1"/>
  <c r="Z140" i="27"/>
  <c r="S140" i="27"/>
  <c r="R140" i="27"/>
  <c r="AK140" i="27" s="1"/>
  <c r="Z139" i="27"/>
  <c r="S139" i="27"/>
  <c r="R139" i="27"/>
  <c r="AK139" i="27" s="1"/>
  <c r="Z138" i="27"/>
  <c r="S138" i="27"/>
  <c r="R138" i="27"/>
  <c r="AK138" i="27" s="1"/>
  <c r="Z137" i="27"/>
  <c r="S137" i="27"/>
  <c r="R137" i="27"/>
  <c r="AK137" i="27" s="1"/>
  <c r="Z136" i="27"/>
  <c r="S136" i="27"/>
  <c r="R136" i="27"/>
  <c r="AK136" i="27" s="1"/>
  <c r="Z135" i="27"/>
  <c r="S135" i="27"/>
  <c r="R135" i="27"/>
  <c r="AK135" i="27" s="1"/>
  <c r="Z134" i="27"/>
  <c r="S134" i="27"/>
  <c r="R134" i="27"/>
  <c r="AK134" i="27" s="1"/>
  <c r="Z133" i="27"/>
  <c r="S133" i="27"/>
  <c r="R133" i="27"/>
  <c r="AK133" i="27" s="1"/>
  <c r="Z132" i="27"/>
  <c r="S132" i="27"/>
  <c r="R132" i="27"/>
  <c r="AK132" i="27" s="1"/>
  <c r="Z131" i="27"/>
  <c r="S131" i="27"/>
  <c r="R131" i="27"/>
  <c r="AK131" i="27" s="1"/>
  <c r="Z130" i="27"/>
  <c r="S130" i="27"/>
  <c r="R130" i="27"/>
  <c r="AK130" i="27" s="1"/>
  <c r="Z129" i="27"/>
  <c r="S129" i="27"/>
  <c r="R129" i="27"/>
  <c r="AK129" i="27" s="1"/>
  <c r="Z128" i="27"/>
  <c r="S128" i="27"/>
  <c r="R128" i="27"/>
  <c r="AK128" i="27" s="1"/>
  <c r="Z127" i="27"/>
  <c r="S127" i="27"/>
  <c r="R127" i="27"/>
  <c r="AK127" i="27" s="1"/>
  <c r="Z126" i="27"/>
  <c r="S126" i="27"/>
  <c r="R126" i="27"/>
  <c r="AK126" i="27" s="1"/>
  <c r="Z125" i="27"/>
  <c r="S125" i="27"/>
  <c r="R125" i="27"/>
  <c r="AK125" i="27" s="1"/>
  <c r="Z124" i="27"/>
  <c r="S124" i="27"/>
  <c r="R124" i="27"/>
  <c r="AK124" i="27" s="1"/>
  <c r="Z123" i="27"/>
  <c r="S123" i="27"/>
  <c r="R123" i="27"/>
  <c r="AK123" i="27" s="1"/>
  <c r="Z122" i="27"/>
  <c r="S122" i="27"/>
  <c r="R122" i="27"/>
  <c r="AK122" i="27" s="1"/>
  <c r="Z121" i="27"/>
  <c r="S121" i="27"/>
  <c r="R121" i="27"/>
  <c r="AK121" i="27" s="1"/>
  <c r="Z120" i="27"/>
  <c r="S120" i="27"/>
  <c r="R120" i="27"/>
  <c r="AK120" i="27" s="1"/>
  <c r="Z119" i="27"/>
  <c r="S119" i="27"/>
  <c r="R119" i="27"/>
  <c r="AK119" i="27" s="1"/>
  <c r="Z118" i="27"/>
  <c r="S118" i="27"/>
  <c r="R118" i="27"/>
  <c r="AK118" i="27" s="1"/>
  <c r="Z117" i="27"/>
  <c r="S117" i="27"/>
  <c r="R117" i="27"/>
  <c r="AK117" i="27" s="1"/>
  <c r="Z116" i="27"/>
  <c r="S116" i="27"/>
  <c r="R116" i="27"/>
  <c r="AK116" i="27" s="1"/>
  <c r="Z115" i="27"/>
  <c r="S115" i="27"/>
  <c r="R115" i="27"/>
  <c r="AK115" i="27" s="1"/>
  <c r="Z114" i="27"/>
  <c r="S114" i="27"/>
  <c r="R114" i="27"/>
  <c r="AK114" i="27" s="1"/>
  <c r="Z113" i="27"/>
  <c r="S113" i="27"/>
  <c r="R113" i="27"/>
  <c r="AK113" i="27" s="1"/>
  <c r="Z112" i="27"/>
  <c r="S112" i="27"/>
  <c r="R112" i="27"/>
  <c r="AK112" i="27" s="1"/>
  <c r="Z111" i="27"/>
  <c r="S111" i="27"/>
  <c r="R111" i="27"/>
  <c r="AK111" i="27" s="1"/>
  <c r="Z110" i="27"/>
  <c r="S110" i="27"/>
  <c r="R110" i="27"/>
  <c r="AK110" i="27" s="1"/>
  <c r="Z109" i="27"/>
  <c r="S109" i="27"/>
  <c r="R109" i="27"/>
  <c r="AK109" i="27" s="1"/>
  <c r="Z108" i="27"/>
  <c r="S108" i="27"/>
  <c r="R108" i="27"/>
  <c r="AK108" i="27" s="1"/>
  <c r="Z107" i="27"/>
  <c r="S107" i="27"/>
  <c r="R107" i="27"/>
  <c r="AK107" i="27" s="1"/>
  <c r="Z106" i="27"/>
  <c r="S106" i="27"/>
  <c r="R106" i="27"/>
  <c r="AK106" i="27" s="1"/>
  <c r="Z105" i="27"/>
  <c r="S105" i="27"/>
  <c r="R105" i="27"/>
  <c r="AK105" i="27" s="1"/>
  <c r="Z104" i="27"/>
  <c r="S104" i="27"/>
  <c r="R104" i="27"/>
  <c r="AK104" i="27" s="1"/>
  <c r="Z103" i="27"/>
  <c r="S103" i="27"/>
  <c r="R103" i="27"/>
  <c r="AK103" i="27" s="1"/>
  <c r="AK102" i="27"/>
  <c r="Z102" i="27"/>
  <c r="S102" i="27"/>
  <c r="Z101" i="27"/>
  <c r="S101" i="27"/>
  <c r="R101" i="27"/>
  <c r="AK101" i="27" s="1"/>
  <c r="Z100" i="27"/>
  <c r="S100" i="27"/>
  <c r="R100" i="27"/>
  <c r="Z99" i="27"/>
  <c r="S99" i="27"/>
  <c r="R99" i="27"/>
  <c r="AK99" i="27" s="1"/>
  <c r="Z98" i="27"/>
  <c r="S98" i="27"/>
  <c r="R98" i="27"/>
  <c r="AK98" i="27" s="1"/>
  <c r="Z97" i="27"/>
  <c r="S97" i="27"/>
  <c r="R97" i="27"/>
  <c r="AK97" i="27" s="1"/>
  <c r="Z96" i="27"/>
  <c r="S96" i="27"/>
  <c r="R96" i="27"/>
  <c r="AK96" i="27" s="1"/>
  <c r="Z95" i="27"/>
  <c r="S95" i="27"/>
  <c r="R95" i="27"/>
  <c r="AK95" i="27" s="1"/>
  <c r="Z94" i="27"/>
  <c r="S94" i="27"/>
  <c r="R94" i="27"/>
  <c r="AK94" i="27" s="1"/>
  <c r="Z93" i="27"/>
  <c r="S93" i="27"/>
  <c r="R93" i="27"/>
  <c r="AK93" i="27" s="1"/>
  <c r="Z92" i="27"/>
  <c r="S92" i="27"/>
  <c r="R92" i="27"/>
  <c r="AK92" i="27" s="1"/>
  <c r="Z91" i="27"/>
  <c r="S91" i="27"/>
  <c r="R91" i="27"/>
  <c r="AK91" i="27" s="1"/>
  <c r="AK90" i="27"/>
  <c r="Z90" i="27"/>
  <c r="S90" i="27"/>
  <c r="Z89" i="27"/>
  <c r="U89" i="27"/>
  <c r="S89" i="27"/>
  <c r="R89" i="27"/>
  <c r="AK89" i="27" s="1"/>
  <c r="Z88" i="27"/>
  <c r="S88" i="27"/>
  <c r="R88" i="27"/>
  <c r="AK88" i="27" s="1"/>
  <c r="Z87" i="27"/>
  <c r="S87" i="27"/>
  <c r="R87" i="27"/>
  <c r="AK87" i="27" s="1"/>
  <c r="Z86" i="27"/>
  <c r="S86" i="27"/>
  <c r="R86" i="27"/>
  <c r="AK86" i="27" s="1"/>
  <c r="Z85" i="27"/>
  <c r="S85" i="27"/>
  <c r="R85" i="27"/>
  <c r="AK85" i="27" s="1"/>
  <c r="Z84" i="27"/>
  <c r="S84" i="27"/>
  <c r="R84" i="27"/>
  <c r="AK84" i="27" s="1"/>
  <c r="Z83" i="27"/>
  <c r="S83" i="27"/>
  <c r="R83" i="27"/>
  <c r="AK83" i="27" s="1"/>
  <c r="Z82" i="27"/>
  <c r="S82" i="27"/>
  <c r="R82" i="27"/>
  <c r="AK82" i="27" s="1"/>
  <c r="Z81" i="27"/>
  <c r="S81" i="27"/>
  <c r="R81" i="27"/>
  <c r="AK81" i="27" s="1"/>
  <c r="Z80" i="27"/>
  <c r="S80" i="27"/>
  <c r="R80" i="27"/>
  <c r="AK80" i="27" s="1"/>
  <c r="Z79" i="27"/>
  <c r="S79" i="27"/>
  <c r="R79" i="27"/>
  <c r="AK79" i="27" s="1"/>
  <c r="Z78" i="27"/>
  <c r="S78" i="27"/>
  <c r="R78" i="27"/>
  <c r="AK78" i="27" s="1"/>
  <c r="Z77" i="27"/>
  <c r="S77" i="27"/>
  <c r="R77" i="27"/>
  <c r="AK77" i="27" s="1"/>
  <c r="Z76" i="27"/>
  <c r="S76" i="27"/>
  <c r="R76" i="27"/>
  <c r="AK76" i="27" s="1"/>
  <c r="Z75" i="27"/>
  <c r="S75" i="27"/>
  <c r="R75" i="27"/>
  <c r="AK75" i="27" s="1"/>
  <c r="Z74" i="27"/>
  <c r="S74" i="27"/>
  <c r="R74" i="27"/>
  <c r="AK74" i="27" s="1"/>
  <c r="Z73" i="27"/>
  <c r="S73" i="27"/>
  <c r="R73" i="27"/>
  <c r="AK72" i="27"/>
  <c r="Z72" i="27"/>
  <c r="S72" i="27"/>
  <c r="Z71" i="27"/>
  <c r="S71" i="27"/>
  <c r="R71" i="27"/>
  <c r="AK71" i="27" s="1"/>
  <c r="Z70" i="27"/>
  <c r="S70" i="27"/>
  <c r="R70" i="27"/>
  <c r="AK70" i="27" s="1"/>
  <c r="AK69" i="27"/>
  <c r="Z69" i="27"/>
  <c r="S69" i="27"/>
  <c r="Z68" i="27"/>
  <c r="S68" i="27"/>
  <c r="R68" i="27"/>
  <c r="AK68" i="27" s="1"/>
  <c r="Z67" i="27"/>
  <c r="U67" i="27"/>
  <c r="S67" i="27"/>
  <c r="R67" i="27"/>
  <c r="AK67" i="27" s="1"/>
  <c r="Z66" i="27"/>
  <c r="S66" i="27"/>
  <c r="R66" i="27"/>
  <c r="AK66" i="27" s="1"/>
  <c r="Z65" i="27"/>
  <c r="S65" i="27"/>
  <c r="R65" i="27"/>
  <c r="AK65" i="27" s="1"/>
  <c r="Z64" i="27"/>
  <c r="S64" i="27"/>
  <c r="R64" i="27"/>
  <c r="AK64" i="27" s="1"/>
  <c r="Z63" i="27"/>
  <c r="S63" i="27"/>
  <c r="R63" i="27"/>
  <c r="AK63" i="27" s="1"/>
  <c r="Z62" i="27"/>
  <c r="S62" i="27"/>
  <c r="R62" i="27"/>
  <c r="AK62" i="27" s="1"/>
  <c r="Z61" i="27"/>
  <c r="S61" i="27"/>
  <c r="R61" i="27"/>
  <c r="AK61" i="27" s="1"/>
  <c r="Z60" i="27"/>
  <c r="S60" i="27"/>
  <c r="R60" i="27"/>
  <c r="AK60" i="27" s="1"/>
  <c r="Z59" i="27"/>
  <c r="S59" i="27"/>
  <c r="R59" i="27"/>
  <c r="AK59" i="27" s="1"/>
  <c r="Z58" i="27"/>
  <c r="S58" i="27"/>
  <c r="R58" i="27"/>
  <c r="AK58" i="27" s="1"/>
  <c r="Z57" i="27"/>
  <c r="S57" i="27"/>
  <c r="R57" i="27"/>
  <c r="AK57" i="27" s="1"/>
  <c r="AK56" i="27"/>
  <c r="Z56" i="27"/>
  <c r="S56" i="27"/>
  <c r="R56" i="27"/>
  <c r="Z55" i="27"/>
  <c r="S55" i="27"/>
  <c r="R55" i="27"/>
  <c r="AK55" i="27" s="1"/>
  <c r="Z54" i="27"/>
  <c r="S54" i="27"/>
  <c r="R54" i="27"/>
  <c r="AK54" i="27" s="1"/>
  <c r="Z53" i="27"/>
  <c r="S53" i="27"/>
  <c r="R53" i="27"/>
  <c r="AK53" i="27" s="1"/>
  <c r="Z52" i="27"/>
  <c r="S52" i="27"/>
  <c r="R52" i="27"/>
  <c r="AK52" i="27" s="1"/>
  <c r="Z51" i="27"/>
  <c r="S51" i="27"/>
  <c r="R51" i="27"/>
  <c r="AK51" i="27" s="1"/>
  <c r="Z50" i="27"/>
  <c r="S50" i="27"/>
  <c r="R50" i="27"/>
  <c r="AK50" i="27" s="1"/>
  <c r="Z49" i="27"/>
  <c r="S49" i="27"/>
  <c r="R49" i="27"/>
  <c r="AK49" i="27" s="1"/>
  <c r="Z48" i="27"/>
  <c r="S48" i="27"/>
  <c r="R48" i="27"/>
  <c r="AK48" i="27" s="1"/>
  <c r="Z47" i="27"/>
  <c r="S47" i="27"/>
  <c r="R47" i="27"/>
  <c r="AK47" i="27" s="1"/>
  <c r="Z46" i="27"/>
  <c r="S46" i="27"/>
  <c r="R46" i="27"/>
  <c r="AK46" i="27" s="1"/>
  <c r="Z45" i="27"/>
  <c r="S45" i="27"/>
  <c r="R45" i="27"/>
  <c r="AK45" i="27" s="1"/>
  <c r="Z44" i="27"/>
  <c r="S44" i="27"/>
  <c r="R44" i="27"/>
  <c r="AK44" i="27" s="1"/>
  <c r="Z43" i="27"/>
  <c r="S43" i="27"/>
  <c r="R43" i="27"/>
  <c r="AK43" i="27" s="1"/>
  <c r="Z42" i="27"/>
  <c r="S42" i="27"/>
  <c r="R42" i="27"/>
  <c r="AK42" i="27" s="1"/>
  <c r="Z41" i="27"/>
  <c r="S41" i="27"/>
  <c r="R41" i="27"/>
  <c r="AK41" i="27" s="1"/>
  <c r="Z40" i="27"/>
  <c r="S40" i="27"/>
  <c r="R40" i="27"/>
  <c r="AK40" i="27" s="1"/>
  <c r="Z39" i="27"/>
  <c r="S39" i="27"/>
  <c r="R39" i="27"/>
  <c r="AK39" i="27" s="1"/>
  <c r="Z38" i="27"/>
  <c r="S38" i="27"/>
  <c r="R38" i="27"/>
  <c r="AK38" i="27" s="1"/>
  <c r="Z37" i="27"/>
  <c r="S37" i="27"/>
  <c r="R37" i="27"/>
  <c r="AK37" i="27" s="1"/>
  <c r="Z36" i="27"/>
  <c r="S36" i="27"/>
  <c r="R36" i="27"/>
  <c r="AK36" i="27" s="1"/>
  <c r="Z35" i="27"/>
  <c r="S35" i="27"/>
  <c r="R35" i="27"/>
  <c r="AK35" i="27" s="1"/>
  <c r="Z34" i="27"/>
  <c r="S34" i="27"/>
  <c r="R34" i="27"/>
  <c r="AK34" i="27" s="1"/>
  <c r="Z33" i="27"/>
  <c r="S33" i="27"/>
  <c r="R33" i="27"/>
  <c r="AK33" i="27" s="1"/>
  <c r="Z32" i="27"/>
  <c r="S32" i="27"/>
  <c r="R32" i="27"/>
  <c r="AK32" i="27" s="1"/>
  <c r="Z31" i="27"/>
  <c r="S31" i="27"/>
  <c r="R31" i="27"/>
  <c r="AK31" i="27" s="1"/>
  <c r="Z30" i="27"/>
  <c r="S30" i="27"/>
  <c r="R30" i="27"/>
  <c r="AK30" i="27" s="1"/>
  <c r="Z29" i="27"/>
  <c r="S29" i="27"/>
  <c r="R29" i="27"/>
  <c r="AK29" i="27" s="1"/>
  <c r="Z28" i="27"/>
  <c r="S28" i="27"/>
  <c r="R28" i="27"/>
  <c r="AK28" i="27" s="1"/>
  <c r="Z27" i="27"/>
  <c r="S27" i="27"/>
  <c r="R27" i="27"/>
  <c r="AK27" i="27" s="1"/>
  <c r="Z26" i="27"/>
  <c r="S26" i="27"/>
  <c r="R26" i="27"/>
  <c r="AK26" i="27" s="1"/>
  <c r="Z25" i="27"/>
  <c r="S25" i="27"/>
  <c r="R25" i="27"/>
  <c r="AK25" i="27" s="1"/>
  <c r="Z24" i="27"/>
  <c r="S24" i="27"/>
  <c r="R24" i="27"/>
  <c r="Z23" i="27"/>
  <c r="S23" i="27"/>
  <c r="R23" i="27"/>
  <c r="Z22" i="27"/>
  <c r="S22" i="27"/>
  <c r="R22" i="27"/>
  <c r="Z21" i="27"/>
  <c r="S21" i="27"/>
  <c r="R21" i="27"/>
  <c r="Z20" i="27"/>
  <c r="S20" i="27"/>
  <c r="R20" i="27"/>
  <c r="Z19" i="27"/>
  <c r="S19" i="27"/>
  <c r="R19" i="27"/>
  <c r="Z18" i="27"/>
  <c r="S18" i="27"/>
  <c r="R18" i="27"/>
  <c r="Z17" i="27"/>
  <c r="S17" i="27"/>
  <c r="R17" i="27"/>
  <c r="Z16" i="27"/>
  <c r="S16" i="27"/>
  <c r="R16" i="27"/>
  <c r="Z15" i="27"/>
  <c r="S15" i="27"/>
  <c r="R15" i="27"/>
  <c r="Z14" i="27"/>
  <c r="S14" i="27"/>
  <c r="R14" i="27"/>
  <c r="Z13" i="27"/>
  <c r="S13" i="27"/>
  <c r="R13" i="27"/>
  <c r="Z12" i="27"/>
  <c r="S12" i="27"/>
  <c r="R12" i="27"/>
  <c r="Z11" i="27"/>
  <c r="S11" i="27"/>
  <c r="R11" i="27"/>
  <c r="Z10" i="27"/>
  <c r="S10" i="27"/>
  <c r="R10" i="27"/>
  <c r="Z9" i="27"/>
  <c r="S9" i="27"/>
  <c r="R9" i="27"/>
  <c r="Z8" i="27"/>
  <c r="S8" i="27"/>
  <c r="R8" i="27"/>
  <c r="Z7" i="27"/>
  <c r="S7" i="27"/>
  <c r="R7" i="27"/>
  <c r="Z6" i="27"/>
  <c r="S6" i="27"/>
  <c r="R6" i="27"/>
  <c r="Z5" i="27"/>
  <c r="S5" i="27"/>
  <c r="R5" i="27"/>
  <c r="Z4" i="27"/>
  <c r="S4" i="27"/>
  <c r="R4" i="27"/>
  <c r="Z3" i="27"/>
  <c r="S3" i="27"/>
  <c r="R3" i="27"/>
  <c r="Z2" i="27"/>
  <c r="S2" i="27"/>
  <c r="R2" i="27"/>
  <c r="S98" i="23"/>
  <c r="R98" i="23"/>
  <c r="Z166" i="27" l="1"/>
  <c r="U166" i="27"/>
  <c r="S166" i="27"/>
  <c r="R153" i="27"/>
  <c r="R166" i="27" s="1"/>
  <c r="Q166" i="27"/>
  <c r="U84" i="23" l="1"/>
  <c r="U4" i="23" l="1"/>
  <c r="S4" i="23"/>
  <c r="I364" i="23" l="1"/>
  <c r="U9" i="23" l="1"/>
  <c r="S9" i="23"/>
  <c r="S362" i="23"/>
  <c r="S363" i="23"/>
  <c r="R362" i="23"/>
  <c r="R363" i="23"/>
  <c r="U45" i="23" l="1"/>
  <c r="U6" i="23"/>
  <c r="U20" i="23" l="1"/>
  <c r="Q20" i="23"/>
  <c r="U97" i="23"/>
  <c r="Q25" i="23"/>
  <c r="S361" i="23" l="1"/>
  <c r="S360" i="23"/>
  <c r="S359" i="23"/>
  <c r="S358" i="23"/>
  <c r="S357" i="23"/>
  <c r="S356" i="23"/>
  <c r="S355" i="23"/>
  <c r="S354" i="23"/>
  <c r="S353" i="23"/>
  <c r="S352" i="23"/>
  <c r="S351" i="23"/>
  <c r="S350" i="23"/>
  <c r="S349" i="23"/>
  <c r="S334" i="23"/>
  <c r="S323" i="23"/>
  <c r="R356" i="23"/>
  <c r="R357" i="23"/>
  <c r="R358" i="23"/>
  <c r="R334" i="23"/>
  <c r="R323" i="23"/>
  <c r="R350" i="23"/>
  <c r="R351" i="23"/>
  <c r="R352" i="23"/>
  <c r="R353" i="23"/>
  <c r="R354" i="23"/>
  <c r="R349" i="23"/>
  <c r="R355" i="23"/>
  <c r="R359" i="23"/>
  <c r="R360" i="23"/>
  <c r="R361" i="23"/>
  <c r="U15" i="23"/>
  <c r="U8" i="23"/>
  <c r="S8" i="23"/>
  <c r="U3" i="23" l="1"/>
  <c r="S7" i="23" l="1"/>
  <c r="U7" i="23"/>
  <c r="S6" i="23"/>
  <c r="U5" i="23"/>
  <c r="S5" i="23"/>
  <c r="Q3" i="23"/>
  <c r="S314" i="23"/>
  <c r="S343" i="23"/>
  <c r="S344" i="23"/>
  <c r="S345" i="23"/>
  <c r="S346" i="23"/>
  <c r="S347" i="23"/>
  <c r="S348" i="23"/>
  <c r="R348" i="23" l="1"/>
  <c r="R347" i="23"/>
  <c r="R344" i="23"/>
  <c r="R345" i="23"/>
  <c r="R343" i="23"/>
  <c r="R346" i="23"/>
  <c r="S340" i="23" l="1"/>
  <c r="S341" i="23"/>
  <c r="R340" i="23"/>
  <c r="R341" i="23"/>
  <c r="S339" i="23"/>
  <c r="R339" i="23"/>
  <c r="S335" i="23"/>
  <c r="S336" i="23"/>
  <c r="R335" i="23"/>
  <c r="S332" i="23"/>
  <c r="S333" i="23"/>
  <c r="R332" i="23"/>
  <c r="R333" i="23"/>
  <c r="S327" i="23"/>
  <c r="S328" i="23"/>
  <c r="S320" i="23"/>
  <c r="R328" i="23"/>
  <c r="R327" i="23"/>
  <c r="S321" i="23"/>
  <c r="S322" i="23"/>
  <c r="S324" i="23"/>
  <c r="S325" i="23"/>
  <c r="R325" i="23"/>
  <c r="R324" i="23"/>
  <c r="R321" i="23"/>
  <c r="R314" i="23"/>
  <c r="S330" i="23" l="1"/>
  <c r="S326" i="23"/>
  <c r="S331" i="23"/>
  <c r="S338" i="23"/>
  <c r="S329" i="23"/>
  <c r="S337" i="23"/>
  <c r="S342" i="23"/>
  <c r="E364" i="23"/>
  <c r="F364" i="23"/>
  <c r="R330" i="23"/>
  <c r="R326" i="23"/>
  <c r="R331" i="23"/>
  <c r="R338" i="23"/>
  <c r="R329" i="23"/>
  <c r="R337" i="23"/>
  <c r="R336" i="23"/>
  <c r="R342" i="23"/>
  <c r="K364" i="23" l="1"/>
  <c r="AA364" i="23" l="1"/>
  <c r="U54" i="23"/>
  <c r="U46" i="23" l="1"/>
  <c r="S301" i="23"/>
  <c r="S302" i="23"/>
  <c r="S303" i="23"/>
  <c r="S304" i="23"/>
  <c r="S305" i="23"/>
  <c r="S306" i="23"/>
  <c r="S307" i="23"/>
  <c r="S308" i="23"/>
  <c r="S309" i="23"/>
  <c r="S310" i="23"/>
  <c r="S311" i="23"/>
  <c r="S312" i="23"/>
  <c r="S313" i="23"/>
  <c r="S315" i="23"/>
  <c r="S316" i="23"/>
  <c r="S317" i="23"/>
  <c r="S318" i="23"/>
  <c r="S319" i="23"/>
  <c r="R317" i="23"/>
  <c r="R318" i="23"/>
  <c r="R315" i="23"/>
  <c r="R316" i="23"/>
  <c r="R309" i="23"/>
  <c r="R310" i="23"/>
  <c r="R311" i="23"/>
  <c r="R312" i="23"/>
  <c r="R313" i="23"/>
  <c r="R306" i="23" l="1"/>
  <c r="R307" i="23"/>
  <c r="R303" i="23"/>
  <c r="R304" i="23"/>
  <c r="R301" i="23"/>
  <c r="S300" i="23"/>
  <c r="R300" i="23"/>
  <c r="S298" i="23"/>
  <c r="R298" i="23"/>
  <c r="R319" i="23"/>
  <c r="R322" i="23"/>
  <c r="R320" i="23"/>
  <c r="U173" i="23" l="1"/>
  <c r="U116" i="23"/>
  <c r="S284" i="23"/>
  <c r="S282" i="23"/>
  <c r="S281" i="23"/>
  <c r="S280" i="23"/>
  <c r="S279" i="23"/>
  <c r="S278" i="23"/>
  <c r="S277" i="23"/>
  <c r="S276" i="23"/>
  <c r="S275" i="23"/>
  <c r="S274" i="23"/>
  <c r="S273" i="23"/>
  <c r="S272" i="23"/>
  <c r="S270" i="23"/>
  <c r="S268" i="23"/>
  <c r="S265" i="23"/>
  <c r="S264" i="23"/>
  <c r="S263" i="23"/>
  <c r="S262" i="23"/>
  <c r="S260" i="23"/>
  <c r="S259" i="23"/>
  <c r="S258" i="23"/>
  <c r="S257" i="23"/>
  <c r="S256" i="23"/>
  <c r="S255" i="23"/>
  <c r="S254" i="23"/>
  <c r="S253" i="23"/>
  <c r="S250" i="23"/>
  <c r="S249" i="23"/>
  <c r="S248" i="23"/>
  <c r="S247" i="23"/>
  <c r="S246" i="23"/>
  <c r="S245" i="23"/>
  <c r="S244" i="23"/>
  <c r="S240" i="23"/>
  <c r="S239" i="23"/>
  <c r="S237" i="23"/>
  <c r="S236" i="23"/>
  <c r="U21" i="23"/>
  <c r="Q11" i="23"/>
  <c r="R308" i="23"/>
  <c r="R305" i="23"/>
  <c r="S299" i="23"/>
  <c r="S297" i="23"/>
  <c r="S296" i="23"/>
  <c r="S295" i="23"/>
  <c r="S294" i="23"/>
  <c r="S293" i="23"/>
  <c r="S292" i="23"/>
  <c r="S291" i="23"/>
  <c r="S290" i="23"/>
  <c r="S289" i="23"/>
  <c r="S288" i="23"/>
  <c r="S287" i="23"/>
  <c r="S286" i="23"/>
  <c r="S285" i="23"/>
  <c r="S283" i="23"/>
  <c r="S271" i="23"/>
  <c r="S269" i="23"/>
  <c r="S267" i="23"/>
  <c r="S266" i="23"/>
  <c r="S261" i="23"/>
  <c r="S252" i="23"/>
  <c r="S251" i="23"/>
  <c r="R302" i="23"/>
  <c r="R283" i="23"/>
  <c r="R271" i="23"/>
  <c r="R269" i="23"/>
  <c r="R267" i="23"/>
  <c r="R266" i="23"/>
  <c r="R261" i="23"/>
  <c r="R251" i="23"/>
  <c r="R252" i="23"/>
  <c r="R253" i="23"/>
  <c r="R285" i="23"/>
  <c r="R286" i="23"/>
  <c r="R287" i="23"/>
  <c r="R288" i="23"/>
  <c r="R289" i="23"/>
  <c r="R290" i="23"/>
  <c r="R291" i="23"/>
  <c r="R292" i="23"/>
  <c r="R293" i="23"/>
  <c r="R294" i="23"/>
  <c r="R295" i="23"/>
  <c r="R296" i="23"/>
  <c r="R297" i="23"/>
  <c r="R299" i="23"/>
  <c r="U10" i="23" l="1"/>
  <c r="R272" i="23" l="1"/>
  <c r="R236" i="23"/>
  <c r="R237" i="23"/>
  <c r="R273" i="23"/>
  <c r="R239" i="23"/>
  <c r="R264" i="23"/>
  <c r="R279" i="23"/>
  <c r="R276" i="23"/>
  <c r="R248" i="23"/>
  <c r="R265" i="23"/>
  <c r="R275" i="23"/>
  <c r="R268" i="23"/>
  <c r="R270" i="23"/>
  <c r="R281" i="23"/>
  <c r="R249" i="23"/>
  <c r="R250" i="23"/>
  <c r="R247" i="23"/>
  <c r="R240" i="23"/>
  <c r="R245" i="23"/>
  <c r="R263" i="23"/>
  <c r="R260" i="23"/>
  <c r="R256" i="23"/>
  <c r="R262" i="23"/>
  <c r="R282" i="23"/>
  <c r="R274" i="23"/>
  <c r="R277" i="23"/>
  <c r="R280" i="23"/>
  <c r="R255" i="23"/>
  <c r="R257" i="23"/>
  <c r="R258" i="23"/>
  <c r="R259" i="23"/>
  <c r="R244" i="23"/>
  <c r="R246" i="23"/>
  <c r="R254" i="23"/>
  <c r="R278" i="23"/>
  <c r="R284" i="23"/>
  <c r="R166" i="23" l="1"/>
  <c r="S243" i="23" l="1"/>
  <c r="S242" i="23"/>
  <c r="U11" i="23"/>
  <c r="R242" i="23" l="1"/>
  <c r="R243" i="23"/>
  <c r="S230" i="23"/>
  <c r="S231" i="23"/>
  <c r="S232" i="23"/>
  <c r="S233" i="23"/>
  <c r="S234" i="23"/>
  <c r="S235" i="23"/>
  <c r="R230" i="23"/>
  <c r="R231" i="23"/>
  <c r="R232" i="23"/>
  <c r="R233" i="23"/>
  <c r="R234" i="23"/>
  <c r="R235" i="23"/>
  <c r="S215" i="23"/>
  <c r="S216" i="23"/>
  <c r="S217" i="23"/>
  <c r="S218" i="23"/>
  <c r="S219" i="23"/>
  <c r="S220" i="23"/>
  <c r="S221" i="23"/>
  <c r="S222" i="23"/>
  <c r="S223" i="23"/>
  <c r="S224" i="23"/>
  <c r="S225" i="23"/>
  <c r="S226" i="23"/>
  <c r="S227" i="23"/>
  <c r="S228" i="23"/>
  <c r="S229" i="23"/>
  <c r="S238" i="23"/>
  <c r="S241" i="23"/>
  <c r="S214" i="23"/>
  <c r="R216" i="23" l="1"/>
  <c r="R217" i="23"/>
  <c r="R218" i="23"/>
  <c r="R219" i="23"/>
  <c r="R220" i="23"/>
  <c r="R221" i="23"/>
  <c r="R222" i="23"/>
  <c r="R214" i="23"/>
  <c r="R215" i="23"/>
  <c r="R223" i="23"/>
  <c r="R224" i="23"/>
  <c r="R225" i="23"/>
  <c r="R226" i="23"/>
  <c r="R227" i="23"/>
  <c r="R228" i="23"/>
  <c r="R229" i="23"/>
  <c r="R238" i="23"/>
  <c r="R241" i="23"/>
  <c r="U14" i="23" l="1"/>
  <c r="S192" i="23"/>
  <c r="S201" i="23"/>
  <c r="S200" i="23"/>
  <c r="S199" i="23"/>
  <c r="S198" i="23"/>
  <c r="S197" i="23"/>
  <c r="S209" i="23"/>
  <c r="R209" i="23"/>
  <c r="R192" i="23"/>
  <c r="S181" i="23"/>
  <c r="R181" i="23"/>
  <c r="S213" i="23"/>
  <c r="S212" i="23"/>
  <c r="S211" i="23"/>
  <c r="S210" i="23"/>
  <c r="S208" i="23"/>
  <c r="S207" i="23"/>
  <c r="S206" i="23"/>
  <c r="S205" i="23"/>
  <c r="S204" i="23"/>
  <c r="S203" i="23"/>
  <c r="S202" i="23"/>
  <c r="R212" i="23"/>
  <c r="R211" i="23"/>
  <c r="R202" i="23"/>
  <c r="R203" i="23"/>
  <c r="R204" i="23"/>
  <c r="R205" i="23"/>
  <c r="R206" i="23"/>
  <c r="R207" i="23"/>
  <c r="R198" i="23"/>
  <c r="R199" i="23"/>
  <c r="R200" i="23"/>
  <c r="R201" i="23"/>
  <c r="R208" i="23"/>
  <c r="R210" i="23"/>
  <c r="U87" i="23" l="1"/>
  <c r="U35" i="23" l="1"/>
  <c r="U38" i="23" l="1"/>
  <c r="S196" i="23"/>
  <c r="S195" i="23"/>
  <c r="S194" i="23"/>
  <c r="S193" i="23"/>
  <c r="S191" i="23"/>
  <c r="S190" i="23"/>
  <c r="S189" i="23"/>
  <c r="S188" i="23"/>
  <c r="S187" i="23"/>
  <c r="S186" i="23"/>
  <c r="S185" i="23"/>
  <c r="S184" i="23"/>
  <c r="S183" i="23"/>
  <c r="S182" i="23"/>
  <c r="S180" i="23"/>
  <c r="S179" i="23"/>
  <c r="S178" i="23"/>
  <c r="S177" i="23"/>
  <c r="S176" i="23"/>
  <c r="S175" i="23"/>
  <c r="S174" i="23"/>
  <c r="S173" i="23"/>
  <c r="S172" i="23"/>
  <c r="S171" i="23"/>
  <c r="S170" i="23"/>
  <c r="S169" i="23"/>
  <c r="S168" i="23"/>
  <c r="S167" i="23"/>
  <c r="S166" i="23"/>
  <c r="S165" i="23"/>
  <c r="S164" i="23"/>
  <c r="S163" i="23"/>
  <c r="S162" i="23"/>
  <c r="S161" i="23"/>
  <c r="S160" i="23"/>
  <c r="S159" i="23"/>
  <c r="S158" i="23"/>
  <c r="S157" i="23"/>
  <c r="S156" i="23"/>
  <c r="S155" i="23"/>
  <c r="S154" i="23"/>
  <c r="S153" i="23"/>
  <c r="S152" i="23"/>
  <c r="S151" i="23"/>
  <c r="S150" i="23"/>
  <c r="S149" i="23"/>
  <c r="S148" i="23"/>
  <c r="S147" i="23"/>
  <c r="R189" i="23"/>
  <c r="R190" i="23"/>
  <c r="R191" i="23"/>
  <c r="R193" i="23"/>
  <c r="R194" i="23"/>
  <c r="R195" i="23"/>
  <c r="R196" i="23"/>
  <c r="R197" i="23"/>
  <c r="R179" i="23" l="1"/>
  <c r="R180" i="23"/>
  <c r="R182" i="23"/>
  <c r="R183" i="23"/>
  <c r="R184" i="23"/>
  <c r="R185" i="23"/>
  <c r="R174" i="23"/>
  <c r="R172" i="23"/>
  <c r="R173" i="23"/>
  <c r="AE173" i="23" s="1"/>
  <c r="R169" i="23"/>
  <c r="R167" i="23"/>
  <c r="R168" i="23"/>
  <c r="R170" i="23"/>
  <c r="R171" i="23"/>
  <c r="R175" i="23"/>
  <c r="R176" i="23"/>
  <c r="R177" i="23"/>
  <c r="R178" i="23"/>
  <c r="R160" i="23"/>
  <c r="R161" i="23"/>
  <c r="R162" i="23"/>
  <c r="AE162" i="23" s="1"/>
  <c r="R163" i="23"/>
  <c r="R164" i="23"/>
  <c r="R165" i="23"/>
  <c r="R186" i="23"/>
  <c r="R187" i="23"/>
  <c r="R188" i="23"/>
  <c r="R147" i="23"/>
  <c r="R151" i="23"/>
  <c r="R152" i="23"/>
  <c r="R153" i="23"/>
  <c r="R154" i="23"/>
  <c r="R155" i="23"/>
  <c r="R156" i="23"/>
  <c r="R148" i="23" l="1"/>
  <c r="R149" i="23"/>
  <c r="R150" i="23"/>
  <c r="R157" i="23"/>
  <c r="R213" i="23"/>
  <c r="R159" i="23"/>
  <c r="R158" i="23"/>
  <c r="J364" i="23" l="1"/>
  <c r="U57" i="23"/>
  <c r="U52" i="23"/>
  <c r="U51" i="23"/>
  <c r="U60" i="23"/>
  <c r="U58" i="23"/>
  <c r="U50" i="23"/>
  <c r="U56" i="23"/>
  <c r="U53" i="23"/>
  <c r="U49" i="23"/>
  <c r="U55" i="23"/>
  <c r="U70" i="23"/>
  <c r="U64" i="23"/>
  <c r="U61" i="23"/>
  <c r="R111" i="23"/>
  <c r="R146" i="23"/>
  <c r="R145" i="23"/>
  <c r="R144" i="23"/>
  <c r="R143" i="23"/>
  <c r="R142" i="23"/>
  <c r="R141" i="23"/>
  <c r="R140" i="23"/>
  <c r="R139" i="23"/>
  <c r="R138" i="23"/>
  <c r="R137" i="23"/>
  <c r="R136" i="23"/>
  <c r="R134" i="23"/>
  <c r="R133" i="23"/>
  <c r="R132" i="23"/>
  <c r="R130" i="23"/>
  <c r="R129" i="23"/>
  <c r="R128" i="23"/>
  <c r="R127" i="23"/>
  <c r="R126" i="23"/>
  <c r="R125" i="23"/>
  <c r="R123" i="23"/>
  <c r="R122" i="23"/>
  <c r="R121" i="23"/>
  <c r="R120" i="23"/>
  <c r="R119" i="23"/>
  <c r="R118" i="23"/>
  <c r="R116" i="23"/>
  <c r="R115" i="23"/>
  <c r="R114" i="23"/>
  <c r="R113" i="23"/>
  <c r="R112" i="23"/>
  <c r="R109" i="23"/>
  <c r="R108" i="23"/>
  <c r="R106" i="23"/>
  <c r="R102" i="23"/>
  <c r="R101" i="23"/>
  <c r="R100" i="23"/>
  <c r="R97" i="23"/>
  <c r="R93" i="23"/>
  <c r="R92" i="23"/>
  <c r="R90" i="23"/>
  <c r="R89" i="23"/>
  <c r="R88" i="23"/>
  <c r="R86" i="23"/>
  <c r="R85" i="23"/>
  <c r="R84" i="23"/>
  <c r="R83" i="23"/>
  <c r="R82" i="23"/>
  <c r="R81" i="23"/>
  <c r="R80" i="23"/>
  <c r="R79" i="23"/>
  <c r="R78" i="23"/>
  <c r="R76" i="23"/>
  <c r="R75" i="23"/>
  <c r="R74" i="23"/>
  <c r="R73" i="23"/>
  <c r="R71" i="23"/>
  <c r="R70" i="23"/>
  <c r="R69" i="23"/>
  <c r="R67" i="23"/>
  <c r="R65" i="23"/>
  <c r="R64" i="23"/>
  <c r="R63" i="23"/>
  <c r="R62" i="23"/>
  <c r="R61" i="23"/>
  <c r="R60" i="23"/>
  <c r="R59" i="23"/>
  <c r="R58" i="23"/>
  <c r="R57" i="23"/>
  <c r="R56" i="23"/>
  <c r="R55" i="23"/>
  <c r="R54" i="23"/>
  <c r="R53" i="23"/>
  <c r="R52" i="23"/>
  <c r="R51" i="23"/>
  <c r="R50" i="23"/>
  <c r="R49" i="23"/>
  <c r="R48" i="23"/>
  <c r="R47" i="23"/>
  <c r="R44" i="23"/>
  <c r="R43" i="23"/>
  <c r="R42" i="23"/>
  <c r="R40" i="23"/>
  <c r="R38" i="23"/>
  <c r="R37" i="23"/>
  <c r="R36" i="23"/>
  <c r="R5" i="23"/>
  <c r="R6" i="23"/>
  <c r="R8" i="23"/>
  <c r="R9" i="23"/>
  <c r="R10" i="23"/>
  <c r="R12" i="23"/>
  <c r="R13" i="23"/>
  <c r="R14" i="23"/>
  <c r="R16" i="23"/>
  <c r="R17" i="23"/>
  <c r="R18" i="23"/>
  <c r="R20" i="23"/>
  <c r="R21" i="23"/>
  <c r="R22" i="23"/>
  <c r="R23" i="23"/>
  <c r="R24" i="23"/>
  <c r="R25" i="23"/>
  <c r="R26" i="23"/>
  <c r="R27" i="23"/>
  <c r="R28" i="23"/>
  <c r="R31" i="23"/>
  <c r="R33" i="23"/>
  <c r="R34" i="23"/>
  <c r="R35" i="23"/>
  <c r="V364" i="23"/>
  <c r="AE364" i="23"/>
  <c r="N364" i="23"/>
  <c r="M364" i="23"/>
  <c r="AC364" i="23"/>
  <c r="AG364" i="23"/>
  <c r="AD364" i="23"/>
  <c r="AF364" i="23"/>
  <c r="AB364" i="23"/>
  <c r="R124" i="23"/>
  <c r="R117" i="23"/>
  <c r="R107" i="23"/>
  <c r="R103" i="23"/>
  <c r="R96" i="23"/>
  <c r="R95" i="23"/>
  <c r="R94" i="23"/>
  <c r="R87" i="23"/>
  <c r="R77" i="23"/>
  <c r="R72" i="23"/>
  <c r="R32" i="23"/>
  <c r="R30" i="23"/>
  <c r="G364" i="23"/>
  <c r="H364" i="23"/>
  <c r="L364" i="23"/>
  <c r="C364" i="23"/>
  <c r="D364" i="23"/>
  <c r="A364" i="23"/>
  <c r="B364" i="23"/>
  <c r="O364" i="23"/>
  <c r="P364" i="23"/>
  <c r="T364" i="23"/>
  <c r="W364" i="23"/>
  <c r="X364" i="23"/>
  <c r="Z364" i="23"/>
  <c r="AH364" i="23"/>
  <c r="R11" i="23"/>
  <c r="S364" i="23"/>
  <c r="Y364" i="23"/>
  <c r="R66" i="23" l="1"/>
  <c r="R91" i="23"/>
  <c r="R99" i="23"/>
  <c r="R135" i="23"/>
  <c r="R7" i="23"/>
  <c r="R131" i="23"/>
  <c r="R29" i="23"/>
  <c r="R68" i="23"/>
  <c r="R19" i="23"/>
  <c r="R105" i="23"/>
  <c r="R39" i="23"/>
  <c r="R41" i="23"/>
  <c r="R45" i="23"/>
  <c r="R110" i="23"/>
  <c r="R4" i="23"/>
  <c r="R3" i="23"/>
  <c r="R15" i="23"/>
  <c r="R104" i="23"/>
  <c r="R46" i="23"/>
  <c r="Q364" i="23"/>
  <c r="U364" i="23"/>
  <c r="R364" i="23" l="1"/>
</calcChain>
</file>

<file path=xl/sharedStrings.xml><?xml version="1.0" encoding="utf-8"?>
<sst xmlns="http://schemas.openxmlformats.org/spreadsheetml/2006/main" count="8741" uniqueCount="2396">
  <si>
    <t>presidencia_</t>
  </si>
  <si>
    <t>VICE</t>
  </si>
  <si>
    <t>ÁREA</t>
  </si>
  <si>
    <t>secretaria_general</t>
  </si>
  <si>
    <t>Presidencia_</t>
  </si>
  <si>
    <t>Gerencia de Riesgo</t>
  </si>
  <si>
    <t>vicepresidencia_comercial_</t>
  </si>
  <si>
    <t>Oficina de Control Interno</t>
  </si>
  <si>
    <t>vicepresidencia_desarrollo_corporativo</t>
  </si>
  <si>
    <t>Presidencia</t>
  </si>
  <si>
    <t>vicepresidencia_financiera</t>
  </si>
  <si>
    <t>Secretaría_General</t>
  </si>
  <si>
    <t>Gerencia de Talento Humano</t>
  </si>
  <si>
    <t>vicepresidencia_indemnizaciones</t>
  </si>
  <si>
    <t>Oficina de Control Interno Disciplinario</t>
  </si>
  <si>
    <t>vicepresidencia_juridica</t>
  </si>
  <si>
    <t>Secretaria General</t>
  </si>
  <si>
    <t>vicepresidencia_tecnica</t>
  </si>
  <si>
    <t>Subgerencia Administración de Personal</t>
  </si>
  <si>
    <t xml:space="preserve">Subgerencia de Recursos Físicos </t>
  </si>
  <si>
    <t>Subgerencia Desarrollo de Talento Humano</t>
  </si>
  <si>
    <t>Vicepresidencia_Comercial_</t>
  </si>
  <si>
    <t xml:space="preserve">Gerencia Comercial </t>
  </si>
  <si>
    <t xml:space="preserve">Gerencia De Canales </t>
  </si>
  <si>
    <t xml:space="preserve">Gerencia De Negocios Estatales </t>
  </si>
  <si>
    <t>Gerencia de Servicio</t>
  </si>
  <si>
    <t>Gerencia de Sucursales</t>
  </si>
  <si>
    <t xml:space="preserve">Oficina de Mercadeo Y Publicidad </t>
  </si>
  <si>
    <t>Subgerencia De Inteligencia De Mercados</t>
  </si>
  <si>
    <t>Subgerencia De Licitaciones</t>
  </si>
  <si>
    <t>Vicepresidencia Comercial</t>
  </si>
  <si>
    <t>Vicepresidencia_Desarrollo_Corporativo</t>
  </si>
  <si>
    <t>Arquitectura Empresarial</t>
  </si>
  <si>
    <t xml:space="preserve">Gerencia De Innovación Y Procesos </t>
  </si>
  <si>
    <t>Gerencia De Planeación</t>
  </si>
  <si>
    <t>Gerencia De Tecnología De La Información</t>
  </si>
  <si>
    <t>Subgerencia De Infraestructura Y Servicios De Ti</t>
  </si>
  <si>
    <t>Subgerencia De Mantenimiento De Sistemas De Información</t>
  </si>
  <si>
    <t xml:space="preserve">Subgerencia De Mejoramiento De Procesos </t>
  </si>
  <si>
    <t>Subgerencia De Planeación Y Proyectos De Ti</t>
  </si>
  <si>
    <t>Subgerencia De Transformación Digital</t>
  </si>
  <si>
    <t xml:space="preserve">Vicepresidencia De Desarrollo Corporativo </t>
  </si>
  <si>
    <t>Actuario Responsable</t>
  </si>
  <si>
    <t>Gerencia Contable Y Tributaria</t>
  </si>
  <si>
    <t xml:space="preserve">Gerencia De Cartera </t>
  </si>
  <si>
    <t xml:space="preserve">Gerencia De Inversiones </t>
  </si>
  <si>
    <t>Gerencia De Planeacion Financiera</t>
  </si>
  <si>
    <t>Oficina de Contabilidad e Impuestos</t>
  </si>
  <si>
    <t>Subgerencia de Impuestos</t>
  </si>
  <si>
    <t xml:space="preserve">Subgerencia De Presupuesto </t>
  </si>
  <si>
    <t>Vicepresidencia Financiera</t>
  </si>
  <si>
    <t>Gerencia De Indemnizaciones Automóviles</t>
  </si>
  <si>
    <t xml:space="preserve">Gerencia De Indemnizaciones Seguros Generales Y Patrimoniales </t>
  </si>
  <si>
    <t>Gerencia De Indemnizaciones Soat, Vida Y Ap</t>
  </si>
  <si>
    <t>Oficina De Indemnizaciones Zona Centro</t>
  </si>
  <si>
    <t xml:space="preserve">Oficina De Indemnizaciones Zona Norte </t>
  </si>
  <si>
    <t>Oficina De Indemnizaciones Zona Occidente</t>
  </si>
  <si>
    <t xml:space="preserve">Subgerencia De Indemnizaciones Soat, Vida Y Ap </t>
  </si>
  <si>
    <t>Subgerencia Recobros y Salvamentos</t>
  </si>
  <si>
    <t>Vicepresidencia De Indemnizaciones</t>
  </si>
  <si>
    <t>Gerencia de Contratacion</t>
  </si>
  <si>
    <t xml:space="preserve">Subgerencia De Procesos Judiciales </t>
  </si>
  <si>
    <t xml:space="preserve">Gerencia Jurídica </t>
  </si>
  <si>
    <t>Gerencia De Litigios</t>
  </si>
  <si>
    <t>Subgerencia De Procesos De Responsabilidad Fiscal Y Administrativos</t>
  </si>
  <si>
    <t xml:space="preserve">Vicepresidencia Jurídica </t>
  </si>
  <si>
    <t>Gerencia De Actuaría</t>
  </si>
  <si>
    <t xml:space="preserve">Gerencia De Reaseguros Y Coaseguros </t>
  </si>
  <si>
    <t>Gerencia Técnica De Automóviles</t>
  </si>
  <si>
    <t>Gerencia Técnica De Seguros Generales E Ingenierias</t>
  </si>
  <si>
    <t>Gerencia Técnica De Seguros Patrimoniales Y Vida</t>
  </si>
  <si>
    <t>Gerencia Técnica De Soat</t>
  </si>
  <si>
    <t>Oficina De Cumplimiento Y Líneas Financieras</t>
  </si>
  <si>
    <t>Oficina De Incendio Y Líneas Aliadas</t>
  </si>
  <si>
    <t xml:space="preserve">Oficina De Prevención De Riesgos </t>
  </si>
  <si>
    <t xml:space="preserve">Oficina De Ramos Técnicos </t>
  </si>
  <si>
    <t>Oficina De Responsabilidad Civil</t>
  </si>
  <si>
    <t>Oficina De Transportes</t>
  </si>
  <si>
    <t>Oficina De Vida Grupo Y Accidentes Personales</t>
  </si>
  <si>
    <t>Subgerencia De Coaseguros</t>
  </si>
  <si>
    <t xml:space="preserve">Vicepresidencia Técnica </t>
  </si>
  <si>
    <t>1 PRIMER VEZ</t>
  </si>
  <si>
    <t>1 AGENCIA</t>
  </si>
  <si>
    <t>1 PERSONA NATURAL</t>
  </si>
  <si>
    <t>1 NIT</t>
  </si>
  <si>
    <t>1 DV 0</t>
  </si>
  <si>
    <t>1 ADICIÓN EN VALOR (DIFERENTE A PRÓRROGAS)</t>
  </si>
  <si>
    <t>2 DOS VECES</t>
  </si>
  <si>
    <t>2 ARRENDAMIENTO y/o ADQUISICIÓN DE INMUEBLES</t>
  </si>
  <si>
    <t>2 PERSONA JURÍDICA</t>
  </si>
  <si>
    <t>2 RUT - REGISTRO ÚNICO TRIBUTARIO</t>
  </si>
  <si>
    <t>2 DV 1</t>
  </si>
  <si>
    <t>2 ADICIÓN EN TIEMPO (PRÓRROGAS)</t>
  </si>
  <si>
    <t>3 TRES VECES</t>
  </si>
  <si>
    <t>3 CESIÓN DE CRÉDITOS</t>
  </si>
  <si>
    <t>3 P JURÍDICA - UNIÓN TEMPORAL o CONSORCIO</t>
  </si>
  <si>
    <t>3 CÉDULA DE CIUDADANÍA</t>
  </si>
  <si>
    <t>3 DV 2</t>
  </si>
  <si>
    <t>3 ADICIÓN EN VALOR y EN TIEMPO</t>
  </si>
  <si>
    <t>4 CUATRO VECES</t>
  </si>
  <si>
    <t>4 COMISION</t>
  </si>
  <si>
    <t>4 NO SE DILIGENCIA INFORMACIÓN PARA ESTE FORMULARIO EN ESTE PERÍODO DE REPORTE</t>
  </si>
  <si>
    <t>4 CÉDULA DE EXTRANJERÍA</t>
  </si>
  <si>
    <t>4 DV 3</t>
  </si>
  <si>
    <t>4 NO SE HA ADICIONADO NI EN VALOR y EN TIEMPO</t>
  </si>
  <si>
    <t>5 CINCO VECES</t>
  </si>
  <si>
    <t>5 COMODATO</t>
  </si>
  <si>
    <t>5 NO SE DILIGENCIA INFORMACIÓN PARA ESTE FORMULARIO EN ESTE PERÍODO DE REPORTE</t>
  </si>
  <si>
    <t>5 DV 4</t>
  </si>
  <si>
    <t>6 SEIS VECES</t>
  </si>
  <si>
    <t>6 COMPRAVENTA MERCANTIL</t>
  </si>
  <si>
    <t>6 DV 5</t>
  </si>
  <si>
    <t>7 SIETE VECES</t>
  </si>
  <si>
    <t>7 COMPRAVENTA y/o SUMINISTRO</t>
  </si>
  <si>
    <t>7 DV 6</t>
  </si>
  <si>
    <t>8 OCHO VECES</t>
  </si>
  <si>
    <t>8 CONCESIÓN</t>
  </si>
  <si>
    <t>8 DV 7</t>
  </si>
  <si>
    <t>9 NUEVE VECES</t>
  </si>
  <si>
    <t>9 CONSULTORÍA</t>
  </si>
  <si>
    <t>9 DV 8</t>
  </si>
  <si>
    <t>10 DIEZ VECES</t>
  </si>
  <si>
    <t>10 CONTRATOS DE ACTIVIDAD CIENTÍFICA Y TECNOLÓGICA</t>
  </si>
  <si>
    <t>10 DV 9</t>
  </si>
  <si>
    <t>11 ONCE VECES</t>
  </si>
  <si>
    <t>11 CONTRATOS DE ESTABILIDAD JURÍDICA</t>
  </si>
  <si>
    <t>11 NO SE DILIGENCIA INFORMACIÓN PARA ESTE FORMULARIO EN ESTE PERÍODO DE REPORTE</t>
  </si>
  <si>
    <t>12 DOCE VECES</t>
  </si>
  <si>
    <t>12 DEPÓSITO</t>
  </si>
  <si>
    <t>13 TRECE VECES</t>
  </si>
  <si>
    <t>13 FACTORING</t>
  </si>
  <si>
    <t>14 CATORCE VECES</t>
  </si>
  <si>
    <t>14 FIDUCIA y/o ENCARGO FIDUCIARIO</t>
  </si>
  <si>
    <t>15 QUINCE VECES</t>
  </si>
  <si>
    <t>15 FLETAMENTO</t>
  </si>
  <si>
    <t>16 DIEZ Y SEIS VECES</t>
  </si>
  <si>
    <t>16 FRANQUICIA</t>
  </si>
  <si>
    <t>17 DIEZ Y SIETE VECES</t>
  </si>
  <si>
    <t>17 INTERVENTORÍA</t>
  </si>
  <si>
    <t>18 DIEZ Y OCHO VECES</t>
  </si>
  <si>
    <t>18 LEASING</t>
  </si>
  <si>
    <t>19 DIEZ Y NUEVE VECES</t>
  </si>
  <si>
    <t>19 MANTENIMIENTO y/o REPARACIÓN</t>
  </si>
  <si>
    <t>20 VEINTE VECES</t>
  </si>
  <si>
    <t>20 MEDIACIÓN o MANDATO</t>
  </si>
  <si>
    <t>21 VEINTIÚN VECES</t>
  </si>
  <si>
    <t>21 OBRA PÚBLICA</t>
  </si>
  <si>
    <t>22 VEINTIDÓS VECES</t>
  </si>
  <si>
    <t>22 PERMUTA</t>
  </si>
  <si>
    <t>23 VEINTITRÉS VECES</t>
  </si>
  <si>
    <t>23 PRESTACIÓN DE SERVICIOS</t>
  </si>
  <si>
    <t>24 VEINTICUATRO VECES</t>
  </si>
  <si>
    <t>24 PRESTACIÓN DE SERVICIOS DE SALUD</t>
  </si>
  <si>
    <t>25 VEINTICINCO VECES</t>
  </si>
  <si>
    <t>25 PRÉSTAMO o MUTUO</t>
  </si>
  <si>
    <t>26 VEINTISÉIS VECES</t>
  </si>
  <si>
    <t>26 PUBLICIDAD</t>
  </si>
  <si>
    <t>27 VEINTISIETE VECES</t>
  </si>
  <si>
    <t>27 RENTING</t>
  </si>
  <si>
    <t>28 VEINTIOCHO VECES</t>
  </si>
  <si>
    <t>28 SEGUROS</t>
  </si>
  <si>
    <t>29 VEINTINUEVE VECES</t>
  </si>
  <si>
    <t>29 TRANSPORTE</t>
  </si>
  <si>
    <t>30 TREINTA VECES</t>
  </si>
  <si>
    <t>30 OTROS</t>
  </si>
  <si>
    <t>31 TREINTA Y UN VECES</t>
  </si>
  <si>
    <t>32 TREINTA Y DOS VECES</t>
  </si>
  <si>
    <t>33 TREINTA Y TRES VECES</t>
  </si>
  <si>
    <t>34 TREINTA Y CUATRO VECES</t>
  </si>
  <si>
    <t>35 TREINTA Y CINCO VECES</t>
  </si>
  <si>
    <t>36 TREINTA Y SEIS VECES</t>
  </si>
  <si>
    <t>37 TREINTA Y SIETE VECES</t>
  </si>
  <si>
    <t>38 TREINTA Y OCHO VECES</t>
  </si>
  <si>
    <t>39 TREINTA Y NUEVE VECES</t>
  </si>
  <si>
    <t>40 CUARENTA VECES</t>
  </si>
  <si>
    <t>41 CUARENTA Y UN VECES</t>
  </si>
  <si>
    <t>42 CUARENTA Y DOS VECES</t>
  </si>
  <si>
    <t>43 CUARENTA Y TRES VECES</t>
  </si>
  <si>
    <t>44 CUARENTA Y CUATRO VECES</t>
  </si>
  <si>
    <t>45 CUARENTA Y CINCO VECES</t>
  </si>
  <si>
    <t>46 CUARENTA Y SEIS VECES</t>
  </si>
  <si>
    <t>47 CUARENTA Y SIETE VECES</t>
  </si>
  <si>
    <t>48 CUARENTA Y OCHO VECES</t>
  </si>
  <si>
    <t>49 CUARENTA Y NUEVE VECES</t>
  </si>
  <si>
    <t>50 CINCUENTA VECES</t>
  </si>
  <si>
    <t>51 NO SE DILIGENCIA INFORMACIÓN PARA ESTE FORMULARIO EN ESTE PERÍODO DE REPORTE</t>
  </si>
  <si>
    <t>CELINA</t>
  </si>
  <si>
    <t>LEYDI</t>
  </si>
  <si>
    <t>tomo los procesos de natalia</t>
  </si>
  <si>
    <t>SANDRA</t>
  </si>
  <si>
    <t>VALENTINA CHINCHILLA</t>
  </si>
  <si>
    <t>5882, 5895</t>
  </si>
  <si>
    <t>Vale ya no se le asigna. Me dijo sandra 21/07/2023</t>
  </si>
  <si>
    <t>CONTRATO SUCURSALES</t>
  </si>
  <si>
    <t>CONTRATO AREAS</t>
  </si>
  <si>
    <t>VALENTINA RODRIGUEZ</t>
  </si>
  <si>
    <t>est.103</t>
  </si>
  <si>
    <t>300-2023-0001</t>
  </si>
  <si>
    <t>001-2023</t>
  </si>
  <si>
    <t>300-2023-0002</t>
  </si>
  <si>
    <t>002-2023</t>
  </si>
  <si>
    <t>300-2023-0003</t>
  </si>
  <si>
    <t>003-2023</t>
  </si>
  <si>
    <t>300-2023-0004</t>
  </si>
  <si>
    <t>004-2023</t>
  </si>
  <si>
    <t>dpto LITIGIOS sin CDP</t>
  </si>
  <si>
    <t>300-2023-0005</t>
  </si>
  <si>
    <t>005-2023</t>
  </si>
  <si>
    <t>300-2023-0006</t>
  </si>
  <si>
    <t>006-2023</t>
  </si>
  <si>
    <t xml:space="preserve">ESTUDIOS </t>
  </si>
  <si>
    <t>300-2023-0007</t>
  </si>
  <si>
    <t>007-2023</t>
  </si>
  <si>
    <t>300-2023-0008</t>
  </si>
  <si>
    <t>008-2023</t>
  </si>
  <si>
    <t>300-2023-0009</t>
  </si>
  <si>
    <t>009-2023</t>
  </si>
  <si>
    <t>VALENTINA R. -4</t>
  </si>
  <si>
    <t>300-2023-0010</t>
  </si>
  <si>
    <t>010-2023</t>
  </si>
  <si>
    <t>CELINA -5</t>
  </si>
  <si>
    <t>114, 118, 127, 132</t>
  </si>
  <si>
    <t>300-2023-0011</t>
  </si>
  <si>
    <t>011-2023</t>
  </si>
  <si>
    <t>SANDRA -1</t>
  </si>
  <si>
    <t>113, 117, 121, 126,128, 133</t>
  </si>
  <si>
    <t>300-2023-0012</t>
  </si>
  <si>
    <t>012-2023</t>
  </si>
  <si>
    <t>LEYDI - 3</t>
  </si>
  <si>
    <t>125, 130, 134</t>
  </si>
  <si>
    <t>300-2023-0013</t>
  </si>
  <si>
    <t>013-2023</t>
  </si>
  <si>
    <t>VALENTINA CH.</t>
  </si>
  <si>
    <t>112, 116, 122, 124</t>
  </si>
  <si>
    <t>300-2023-0014</t>
  </si>
  <si>
    <t>014-2023</t>
  </si>
  <si>
    <t>300-2023-0015</t>
  </si>
  <si>
    <t>015-2023</t>
  </si>
  <si>
    <t>NATALIA - 2</t>
  </si>
  <si>
    <t>115, 119, 120, 123, 129</t>
  </si>
  <si>
    <t>300-2023-0016</t>
  </si>
  <si>
    <t>016-2023</t>
  </si>
  <si>
    <t>300-2023-0017</t>
  </si>
  <si>
    <t>017-2023</t>
  </si>
  <si>
    <t>300-2023-0018</t>
  </si>
  <si>
    <t>018-2023</t>
  </si>
  <si>
    <t>300-2023-0019</t>
  </si>
  <si>
    <t>019-2023</t>
  </si>
  <si>
    <t>300-2023-0020</t>
  </si>
  <si>
    <t>020-2023</t>
  </si>
  <si>
    <t>300-2023-0021</t>
  </si>
  <si>
    <t>021-2023</t>
  </si>
  <si>
    <t>300-2023-0022</t>
  </si>
  <si>
    <t>022-2023</t>
  </si>
  <si>
    <t>300-2023-0023</t>
  </si>
  <si>
    <t>023-2023</t>
  </si>
  <si>
    <t>300-2023-0024</t>
  </si>
  <si>
    <t>024-2023</t>
  </si>
  <si>
    <t>300-2023-0025</t>
  </si>
  <si>
    <t>025-2023</t>
  </si>
  <si>
    <t>300-2023-0026</t>
  </si>
  <si>
    <t>026-2023</t>
  </si>
  <si>
    <t>300-2023-0027</t>
  </si>
  <si>
    <t>027-2023</t>
  </si>
  <si>
    <t>300-2023-0028</t>
  </si>
  <si>
    <t>028-2023</t>
  </si>
  <si>
    <t>300-2023-0029</t>
  </si>
  <si>
    <t>029-2023</t>
  </si>
  <si>
    <t>300-2023-0030</t>
  </si>
  <si>
    <t>030-2023</t>
  </si>
  <si>
    <t>300-2023-0031</t>
  </si>
  <si>
    <t>031-2023</t>
  </si>
  <si>
    <t>300-2023-0032</t>
  </si>
  <si>
    <t>300-2023-0033</t>
  </si>
  <si>
    <t>300-2023-0034</t>
  </si>
  <si>
    <t>300-2023-0035</t>
  </si>
  <si>
    <t>300-2023-0036</t>
  </si>
  <si>
    <t>300-2023-0037</t>
  </si>
  <si>
    <t>300-2023-0038</t>
  </si>
  <si>
    <t>300-2023-0039</t>
  </si>
  <si>
    <t>CM / SUC.</t>
  </si>
  <si>
    <t>VICEPRESIDENCIA</t>
  </si>
  <si>
    <t xml:space="preserve">ÁREA QUE CONTRATA </t>
  </si>
  <si>
    <t>MODALIDAD CONTRATACIÓN</t>
  </si>
  <si>
    <t>FECHA SUSCRIPCIÓN CONTRATO</t>
  </si>
  <si>
    <t>CLASE DE CONTRATO</t>
  </si>
  <si>
    <t>OBJETO DEL CONTRATO</t>
  </si>
  <si>
    <t>VALOR IVA
(SI APLICA)</t>
  </si>
  <si>
    <t>VALOR INICIAL DEL CONTRATO CON IVA</t>
  </si>
  <si>
    <t>TIPO DE IDENTIFICACIÓN CONTRATISTA</t>
  </si>
  <si>
    <t>NÚMERO IDENTIFICACIÓN</t>
  </si>
  <si>
    <t xml:space="preserve">CONTRATISTA: DÍGITO DE VERIFICACIÓN (NIT o RUT) </t>
  </si>
  <si>
    <t>NOMBRE / RAZÓN SOCIAL DEL CONTRATISTA</t>
  </si>
  <si>
    <t>ADICIONES
(SI / NO)</t>
  </si>
  <si>
    <t>VALOR DE LAS ADICIONES CON IVA</t>
  </si>
  <si>
    <t xml:space="preserve">VALOR TOTAL DEL CONTRATO CON IVA (VALOR INICIAL + ADICIONES) </t>
  </si>
  <si>
    <t>PLAZO DEL CONTRATO (inicial)
(días)</t>
  </si>
  <si>
    <t>PRÓRROGA
(SI / NO)</t>
  </si>
  <si>
    <t>ADICIONES: NÚMERO DE DÍAS</t>
  </si>
  <si>
    <t>SUSPENSIÓN (SI/NO)</t>
  </si>
  <si>
    <t>FECHA INICIO CONTRATO</t>
  </si>
  <si>
    <t>FECHA TERMINACIÓN INICIAL CONTRATO</t>
  </si>
  <si>
    <t>FECHA FINAL DEL CONTRATO</t>
  </si>
  <si>
    <t>DEPENDENCIA INTERVENTOR O SUPERVISOR</t>
  </si>
  <si>
    <t>ESTADO DEL CONTRATO (EN EJECUCIÓN EN LIQUIDACIÓN POR LIQUIDAR NO SE LIQUIDA)</t>
  </si>
  <si>
    <t>FECHA LIQUIDACIÓN DEL CONTRATO</t>
  </si>
  <si>
    <t>CAUSAL DE TERMINACIÓN</t>
  </si>
  <si>
    <t>RUBRO PRESUPUESTAL ASIGADO (SEPARAR CADA RUBRO CON ("/")</t>
  </si>
  <si>
    <t>AÑO SUSCRIPCIÓN</t>
  </si>
  <si>
    <t>Sucursal</t>
  </si>
  <si>
    <t>Vicepresidencia_Comercial</t>
  </si>
  <si>
    <t>Sucursal Arauca</t>
  </si>
  <si>
    <t>N/A</t>
  </si>
  <si>
    <t>INVITACIÓN DIRECTA</t>
  </si>
  <si>
    <t>00864-1997</t>
  </si>
  <si>
    <t>Arrendamiento Local comercial No 2 y que hace parte del edificio  del Banco Popular en la ciudad de Arauca ubicada en la calle 21 N. 20 - 48 .</t>
  </si>
  <si>
    <t>SORETH SALAZAR DAZA</t>
  </si>
  <si>
    <t>SI</t>
  </si>
  <si>
    <t>NO</t>
  </si>
  <si>
    <t>En ejecución</t>
  </si>
  <si>
    <t>DEPRECIACIONES</t>
  </si>
  <si>
    <t>Sucursal Ibagué</t>
  </si>
  <si>
    <t>009-97</t>
  </si>
  <si>
    <t>El ARRENDADOR  se obliga a permitir el uso y goce a titulo de arrendamiento al ARRENDATARIO del inmueble denominado local 1 y 2 UNIDOS  y PARQUEADERO No.8 ubicados en la carrera 5 No. 11-03 de la ciudad de Ibagué.</t>
  </si>
  <si>
    <t>JOSE NELSON PEREZ CORTAZAR</t>
  </si>
  <si>
    <t>Depreciaciones</t>
  </si>
  <si>
    <t>Sucursal Monteria</t>
  </si>
  <si>
    <t>CARR-01-98</t>
  </si>
  <si>
    <t>Arriendo Local ubicado en la calle 29 No 3-46 de la ciudad de Montería, para uso de oficinas.</t>
  </si>
  <si>
    <t>ARAUJO&amp;SEGOVIA DE CORDOBA LTDA</t>
  </si>
  <si>
    <t>Casa Matriz</t>
  </si>
  <si>
    <t xml:space="preserve">Subgerencia De Recursos Físicos </t>
  </si>
  <si>
    <t>012-2000</t>
  </si>
  <si>
    <t>LUZ EUGENIA DRESZER</t>
  </si>
  <si>
    <t>014-2000</t>
  </si>
  <si>
    <t>Arriendo del tercer piso del Edificio vima, ubicado en la Transversal 9a. No. 55-97, de la ciudad de Santa Fe de Bogotá, el cual consta de las oficinas 301, 302, 303, 304 y 305 junto con el área de recepción que allí se encuentra, cada una de las oficinas con baño privado, citófono.  Las oficinas 301 y 302 para Fimprevi, las oficinas 303 y 304 para el FEP y la oficina 305 para Asoprevi.
Otrosi.- Se modificó la cláusula 5a. del contrato inicial indicando que el canon de arrendamiento no aumenta para el año 2003, hasta el 31 de julio de 2004. firmado el 23 de mayo de 2003.
Otrosi No. 1.-Se excluye la cláusula 9a. del contrato inicial; firmado el 14 de octubre de 2009.
Adicional No. 3.- Se ajusta en el 1.06% el valor del canon mensual, modificando la cláusula 4a. inicial quedando: el canon mensual asciende a $4.637.323; firmado el 8 de agosto de 2014.
Adicional No. 4.- Se modifica la cláusula 4a. del contrato incial quedando: El canon de arrendamiento mensual para los meses de mayo, junio y julio de 2015 será de $4.745.835.  el canon mensual a partir del 1° de agosto de 2015 y hasta el 31 de julio de 2016 será de $4.915.561. Se modificó la cláusula 5a del contrato inicial a IPC + 2.34 puntos.
Modificación 5.- Se modifica la cláusula primera: Las oficinas son: 301 y 302 funciona Fimprevi, 303 y 304 funciona el FEP y 201 Asoprevi</t>
  </si>
  <si>
    <t>AZUVIMAR S.A.S.</t>
  </si>
  <si>
    <t>ENTIDADES VINCULADAS A LA COMPAÑÍA</t>
  </si>
  <si>
    <t>001-2001</t>
  </si>
  <si>
    <t>ArriendoLocal comercial ubicado en la Carrera 6 No. 4-21, 2° piso del  Edificio Bancolombia de la ciudad de Popayán. 
Otrosi.- Se entrega un área de 70 m2, con pago de canon mensual de $570.161 para un valor total del canon de arrendamiento de $1.529.839 a la suma de $2.000.000 a partir del 1° de diciembre de 2003 y hasta el 31 de diciembre de 2004.
firmado el 22 de noviembre de 2004.
Otrosi.- Modifican las cláusulas 5a y 7a Plazo del contrato: el plazo del contrato es de 1 año a partir del 1° de enero de 2002 y hasta el 31 de diciembre de 2002, prorrogable a voluntad de las aprtes con escrito. el precio del arrendamiento: El canon de arrendamieto para ese período se incrementará el 7.65%, de este período en adelante se incrementará en el IPC.  firmado 12 de junio de 2002.
Oficio del 23 de enero de 2018, informando  prorrogar por el período de 1 de enero al 31 de diciembre de 2018 con incremento del 4% que corresponde al IPC.</t>
  </si>
  <si>
    <t>LUIS EDUARDO PENAGOS TAFURT</t>
  </si>
  <si>
    <t>Sucursal Pereira</t>
  </si>
  <si>
    <t>Arriendo inmueble ubicado en la Carrera 7 No. 19-28 Oficina 202, Edficio Torre Bolivar en Pereira, inmueble con uso de oficna con regimen de propiedad horizontal y el parqueadero # 9 de la misma edificación.
Cesión del contrato.- Abraham Levy Toledo cede el contato a SIDAL S.A., a partir de la suscripción del contrato el valor del canon de arrendamiento es de $4.662.336.  firmado el 1 de marzo de 2016.</t>
  </si>
  <si>
    <t>LEVY TOLEDO ABRAHAM</t>
  </si>
  <si>
    <t>Sucursal Villavicencio</t>
  </si>
  <si>
    <t>037-2005</t>
  </si>
  <si>
    <t>REPRESENTACIONES GALERON LTDA</t>
  </si>
  <si>
    <t>071-2006</t>
  </si>
  <si>
    <t>El ARRENDADOR  se obliga a conceder  al ARRENDATARIO  el  goce  del inmueble con destino a actividades propias de la compañía aseguradora, cuyos linderos se determinan en la clausula segunda que en adelante se identifican por su direccion de acuerdo con el inventario que las partes firman por separado el cual forma parte de este mismo contrato.</t>
  </si>
  <si>
    <t>Sucursal Cartagena</t>
  </si>
  <si>
    <t>088-2007</t>
  </si>
  <si>
    <t>Arriendo Inmueble ubicado en el Edificio Char, calle larga N° 10 - 32 primer piso, barrio getsemani de la ciudad de Cartagena.</t>
  </si>
  <si>
    <t>INVERMAS S.A.</t>
  </si>
  <si>
    <t>Sucursal Medellin</t>
  </si>
  <si>
    <t>080-2008</t>
  </si>
  <si>
    <t>EL ARREDADOR concede al ARRENDATARIO el goce de la oficina de la carrera 71 No. C4-22 en la ciudad de Medellín de acuerdo con el inventario que las partes firman por separado el cual forma parte del mismo.</t>
  </si>
  <si>
    <t>COOPERATIVA DE ASESORES EN INVERSIONES COASESORES</t>
  </si>
  <si>
    <t>GASTOS DISTRIBUCION
(AGENCIAS, FRANQUICIAS,
PTOS DE VTA, SATELITES Y
VIRTUALES)</t>
  </si>
  <si>
    <t>Sucursal Neiva</t>
  </si>
  <si>
    <t>055-2009</t>
  </si>
  <si>
    <t>Mediante el presente contrato EL ARRENDADOR concede a EL ARRENDATARIO el uso y goce del siguiente inmueble ubicado en la calle 8 No. 7A-30, de la ciudad de Neiva (Huila): Local No. 1 que consta de seis (6) parqueaderos, (1) un depósito y  (1) cuarto de archivo, de acuerdo con el inventario que las partes firman por separado, el cual forma parte de este mismo contrato.</t>
  </si>
  <si>
    <t>CONSTRUCTORA SANTA LUCIA NEIRA</t>
  </si>
  <si>
    <t>INVITACIÓN CERRADA</t>
  </si>
  <si>
    <t>058-2010</t>
  </si>
  <si>
    <t>BANCO POPULAR S.A.</t>
  </si>
  <si>
    <t>OTROS GASTOS NO OPERACIONALES</t>
  </si>
  <si>
    <t>039-2011</t>
  </si>
  <si>
    <t>EL MARTILLO se compromete a ofrecer los bienes muebles, enseres y vehículos de propiedad de LA PREVISORA S.A. que ésta le indique, a través de EL MARTILLO DEL BANCO POPULAR, para adjudicarlos al mejor postor mediante los sistemas de Subasta Pública, Oferta Pública, Invitación a Ofrecer, o cualquier otro sistema previamente acordado por las partes.</t>
  </si>
  <si>
    <t>055-2011</t>
  </si>
  <si>
    <t>EL ARRENDADOR concede a EL ARRENDATARIO el uso y goce del inmueble ubicado en la calle 57 No. 8B-05 int 20, de la ciudad de Bogotá, Local con régimen de propiedad horizontal.</t>
  </si>
  <si>
    <t>46350495
19351816</t>
  </si>
  <si>
    <t>LIGIA MARITZA KUSGÜEN RODRIGUEZ, LUIS ORLANDO KUSGÜEN RODRIGUEZ</t>
  </si>
  <si>
    <t xml:space="preserve">Centro Empresarial Corporativo </t>
  </si>
  <si>
    <t>064-2011</t>
  </si>
  <si>
    <t>LOS ARRENDADORES conceden a EL ARRENDATARIO el uso y goce del local 101 y la oficina 301 y de los usos exclusivos de la terraza del local 101 y los garajes 16, 16A, 17, 17A, 21, 22, 23, 24, 25, 26, 27, 28, 29 y 30 bienes ubicados en la Calle 93 No. 15 – 40 del Edificio “Tapiola” Propiedad Horizontal, de la ciudad de Bogotá, de acuerdo con el inventario que las partes firman por separado, los cuales formarán parte del presente contrato.</t>
  </si>
  <si>
    <t>860027563-2
900383665-5
900383375-4</t>
  </si>
  <si>
    <t>INVERSIONES RESTREPO Y OTROS</t>
  </si>
  <si>
    <t>DEPRECIACIONES ADMINISTRACION DE COPROPIEDADES</t>
  </si>
  <si>
    <t>037-2012</t>
  </si>
  <si>
    <t>EL ARRENDADOR concdde al EL ARRENDATARIO el uso uy goce de la Oficina seiscientos uno (601) y el uso exclusivo de los parqueaderos uno (1), dos 82) y cuarenta y dos (42) del Edificio Tequendama ubicdo en la Carrera 7 No. 26-20 de la ciudad de Bogotá.</t>
  </si>
  <si>
    <t>POSITIVA S.A.</t>
  </si>
  <si>
    <t>Sucursal Bucaramanga</t>
  </si>
  <si>
    <t>057-2012</t>
  </si>
  <si>
    <t>EL ARRENDADOR concede a EL ARRENDATARIO el uso y goce del inmueble ubicado en la carrera 37 N. 51-81 Urbanización Cabecera del Llano de la ciudad de Bucaramanga, inmueble con uso de oficina sin régimen de propiedad horizontal,  detallado de acuerdo con el inventario que las partes firman el cual forma parte de este contrato.</t>
  </si>
  <si>
    <t>SOCIEDAD PRIVADA DEL ALQUILER S.A.S.</t>
  </si>
  <si>
    <t>Sucursal Sincelejo</t>
  </si>
  <si>
    <t>027-2013</t>
  </si>
  <si>
    <t xml:space="preserve">Mediante el presente contrato EL ARRENDADOR concede a EL ARRENDATARIO el uso y goce del inmueble ubicado en la carrera 19 No. 27 – 07 de la ciudad de Sincelejo, inmueble con uso de oficina sin régimen de propiedad horizontal, detallado de acuerdo con el inventario que las partes firmen, el cual formará parte de este contrato. </t>
  </si>
  <si>
    <t>INMOBILIARIA Y CONSTRUCTORA COUNTRY HOUSE DEL CARIBE SAS</t>
  </si>
  <si>
    <t>Sucursal Manizales</t>
  </si>
  <si>
    <t>030-2013</t>
  </si>
  <si>
    <t xml:space="preserve">Mediante el presente contrato EL ARRENDADOR concede a EL ARRENDATARIO el uso y goce del inmueble ubicado en la carrera 23 C No. 62 – 06, local No. 1 y parqueaderos Nos 9 y 10 de la ciudad de Manizales, inmueble con uso de oficina sometidos a régimen de propiedad horizontal, detallado de acuerdo con el inventario que las partes firman el cual forma parte de este contrato. </t>
  </si>
  <si>
    <t>PROSEGUIR S.A.</t>
  </si>
  <si>
    <t>Sucursal Cali</t>
  </si>
  <si>
    <t>045-2013</t>
  </si>
  <si>
    <t>El Arrendamiento el uso y goce de la oficina identificada como piso 27 del Edificio Corficolombiana ubicado en la calle 10 No. 4 - 47 , con tres parqueaderos, denominados  30, 31 y 32 situado en el sotano segundo del mismo edificio, de la ciudad de Cali con el inventario que las partes firman por separado y el cual forma parte de este mismo contrato</t>
  </si>
  <si>
    <t>AZCARATE RIVERA E HIJOS LTDA.</t>
  </si>
  <si>
    <t>92000-2016-70</t>
  </si>
  <si>
    <t>EVOLUCIONAR SEGUROS  LTDA.</t>
  </si>
  <si>
    <t>Sucursal Buenaventura</t>
  </si>
  <si>
    <t>064-2017</t>
  </si>
  <si>
    <t>Conceder el goce de inmueble Call 3 Nro 2 33y Calle 3 AN 2 41 respectivamente del Edificio La Sirena de Buenaventura</t>
  </si>
  <si>
    <t>ARANGO &amp; AGUIRRE CIA LTDA.</t>
  </si>
  <si>
    <t>Sucursal Mocoa</t>
  </si>
  <si>
    <t>EDGAR GUSTAVO TORRES CHAMORRO</t>
  </si>
  <si>
    <t>No se Liquida</t>
  </si>
  <si>
    <t>CUMPLIMIENTO DEL PLAZO</t>
  </si>
  <si>
    <t>026-2018</t>
  </si>
  <si>
    <t xml:space="preserve">EL ARRENDADOR en virtud de este contrato entrega en arrendamiento comercial a EL ARRENDATARIO el uso y  goce del Local Comercial No. 4 con Mezanine, del Centro Comercial y de Negocios Andino - P.H, ubicado en la Carrera 11 No. 82-01 en la ciudad de Bogotá D.C. </t>
  </si>
  <si>
    <t>L.V. COLOMBIA S.A.S.</t>
  </si>
  <si>
    <t>Vicepresidencia_Técnica</t>
  </si>
  <si>
    <t>Liquidado</t>
  </si>
  <si>
    <t>INVITACIÓN ABIERTA</t>
  </si>
  <si>
    <t>30 OTROS / OUTSOURCING NÓMINA</t>
  </si>
  <si>
    <t>Por Liquidar</t>
  </si>
  <si>
    <t>HONORARIOS ADMINISTRATIVOS</t>
  </si>
  <si>
    <t>30 OTROS / OUTSOURCING IMPRESIÓN</t>
  </si>
  <si>
    <t>043-2019</t>
  </si>
  <si>
    <t>Proveer un sistema de conectividad para acceder en línea a la Base de Datos RUNT.</t>
  </si>
  <si>
    <t>CONCESION RUNT S.A.</t>
  </si>
  <si>
    <t>GASTOS DE EMISIÓN DE PÓLIZAS</t>
  </si>
  <si>
    <t>ADECUACIÓN E INSTALACIÓN DE OFICINA</t>
  </si>
  <si>
    <t>Vicepresidencia_Financiera</t>
  </si>
  <si>
    <t>SERVIEFECTIVO S.A.S.</t>
  </si>
  <si>
    <t>RESULTADO FINANCIERO</t>
  </si>
  <si>
    <t>SELECCIÓN DE PERSONAL/OTROS GASTOS ASOCIADOS AL PROCESO DE SELECCIÓN DE PERSONAL</t>
  </si>
  <si>
    <t>Sucursal Cúcuta</t>
  </si>
  <si>
    <t>010-2009 / 300-2020-0172</t>
  </si>
  <si>
    <t>Arriendo Local comercial ubicado en la Av 4 calle 14 en las instalaciones de la Previsora Sucursal Cúcuta.</t>
  </si>
  <si>
    <t>JUAN JOSE VARGAS GELVIS</t>
  </si>
  <si>
    <t>CYMA INGENIERIA LTDA.</t>
  </si>
  <si>
    <t>Subgerencia De Impuestos</t>
  </si>
  <si>
    <t>026-2020</t>
  </si>
  <si>
    <t>TRIBUTAR ASESORES S.A.S.</t>
  </si>
  <si>
    <t>HONORARIOS
ADMINISTRATIVOS</t>
  </si>
  <si>
    <t>https://www.secop.gov.co/CO1BusinessLine/Tendering/ProcedureEdit/View?DocUniqueIdentifier=CO1.REQ.1632760&amp;PrevCtxLbl=Work+Area&amp;PrevCtxUrl=https%3a%2f%2fwww.secop.gov.co%2fCO1BusinessLine%2fTendering%2fBuyerWorkArea%2fIndex%3fDocUniqueIdentifier%3dCO1.BDOS.1583522&amp;Messages=Modificaci%C3%B3n%20aplicada%20%20|Success</t>
  </si>
  <si>
    <t>030-2020</t>
  </si>
  <si>
    <t>EL PROVEEDOR se obliga con LA PREVISORA S.A. a suministrar equipos de cómputo portátiles, sus accesorios y monitores adicionales a demanda bajo la modalidad de DaaS (Dispositivo como servicio), así como el servicio de administración y soporte de equipos a nivel nacional con las respectivas herramientas de Gestión.</t>
  </si>
  <si>
    <t>COLSOF S.A.</t>
  </si>
  <si>
    <t>https://community.secop.gov.co/Public/Tendering/ContractNoticePhases/View?PPI=CO1.PPI.29440508&amp;isFromPublicArea=True&amp;isModal=False</t>
  </si>
  <si>
    <t>Vicepresidencia_De_Indemnizaciones</t>
  </si>
  <si>
    <t>GASTOS DE SINIESTROS</t>
  </si>
  <si>
    <t>GRUPO MICROSISTEMAS COLOMBIA SAS</t>
  </si>
  <si>
    <t>600-2020-0089</t>
  </si>
  <si>
    <t>EL COMODANTE (LA PREVISORA S.A.) ENTREGA A TÍTULO DE COMODATO AL BANCO Y ÉSTE RECIBE AL MISMO TÍTULO, EL USO DE UN ESPACIO DE DOS Y MEDIO (2.5) METROS CUADRADOS UBICADOS DENTRO DE UN BIEN INMUEBLE DE SU PROPIEDAD, UBICADO EN LA CALLE 57 NO. 8-93 EDIF</t>
  </si>
  <si>
    <t>BANCO DE BOGOTÁ</t>
  </si>
  <si>
    <t>Resultado Financiero</t>
  </si>
  <si>
    <t>018-2021</t>
  </si>
  <si>
    <t>Mediante el presente contrato EL ARRENDADOR entrega en arrendamiento a EL ARRENDATARIO el uso y goce de la oficina cuatrocientos uno (401) del inmueble ubicado en la transversal 9° No. 55-67 del Edificio El Triángulo de la ciudad de Bogotá D.C., donde funciona SINTRAPREVI.</t>
  </si>
  <si>
    <t>MAGUVIGO S.A.S.</t>
  </si>
  <si>
    <t>029-2021</t>
  </si>
  <si>
    <t xml:space="preserve">EL PROVEEDOR se compromete con LA PREVISORA S.A. a prestar los servicios de infraestructura de cómputo en un modelo de solución híbrida (Collocation + IaaS en modelo de despliegue de nube privada) tanto para el “Datacenter” principal como para el alterno, junto con los servicios de gestión y administración que cubran las necesidades de LA PREVISORA S.A. Adicionalmente se debe suministrar una solución de Recuperación de Desastres (Disaster Recovery Solution) alineado a las necesidades y servicios críticos del negocio. </t>
  </si>
  <si>
    <t>COMUNICACIÓN CELULAR S.A. COMCEL S.A.</t>
  </si>
  <si>
    <t>https://www.secop.gov.co/CO1BusinessLine/Tendering/ProcedureEdit/View?DocUniqueIdentifier=CO1.REQ.2173936&amp;PrevCtxLbl=Work+Area&amp;PrevCtxUrl=https%3a%2f%2fwww.secop.gov.co%2fCO1BusinessLine%2fTendering%2fBuyerWorkArea%2fIndex%3fDocUniqueIdentifier%3dCO1.BDOS.2114292&amp;Messages=Modificaci%C3%B3n%20aplicada%20%20|Success</t>
  </si>
  <si>
    <t>030-2021</t>
  </si>
  <si>
    <t xml:space="preserve">EL PROVEEDOR se compromete a suministrar una solución y servicios de comunicaciones para LA PREVISORA S.A., que cumplan la necesidad de servicio de internet en cada sede, internet móvil y conectividad, interconexión de sus servicios (data center principal y alterno) y sucursales a nivel nacional con enlaces dedicados, anchos de banda óptimo, con esquema SD-WAN garantizando alta disponibilidad, así como su gestión, seguridad y monitoreo. </t>
  </si>
  <si>
    <t>TRANSFIRIENDO S.A.</t>
  </si>
  <si>
    <t>MANTENIMIENTO Y REPARACIONES
TECNOLOGICAS</t>
  </si>
  <si>
    <t>049-2021</t>
  </si>
  <si>
    <t>contratar los servicios profesionales con una compañía especializada en pruebas de software, para certificar la calidad de los componentes de nuevos desarrollos y/o evolutivos entregados por los proveedores de software de la entidad, principalmente para el Core de seguros</t>
  </si>
  <si>
    <t>TOOL CONSULTING S.A.S.</t>
  </si>
  <si>
    <t>https://www.secop.gov.co/CO1BusinessLine/Tendering/ProcedureEdit/View?DocUniqueIdentifier=CO1.REQ.2392773&amp;PrevCtxLbl=Work+Area&amp;PrevCtxUrl=https%3a%2f%2fwww.secop.gov.co%2fCO1BusinessLine%2fTendering%2fBuyerWorkArea%2fIndex%3fDocUniqueIdentifier%3dCO1.BDOS.2326459&amp;Messages=Modificaci%C3%B3n%20aplicada%20%20|Success</t>
  </si>
  <si>
    <t>ADMINISTRAR Y CUSTODIAR LOS VEHÍCULOS DE INVERSIÓN DE PROPIEDAD DE LA PREVISORA, ASÍ COMO LA COMPENSACIÓN Y LIQUIDACIÓN DE LAS OPERACIONES REALIZADAS SOBRE DICHOS VALORES, LOS CUALES RESPALDAN LAS RESERVAS TÉCNICAS DE LA COMPAÑÍA.</t>
  </si>
  <si>
    <t>060-2021</t>
  </si>
  <si>
    <t>BNP PARIBAS NY BRANCH</t>
  </si>
  <si>
    <t>CAJA DE COMPENSACIÓN FAMILIAR COMPENSAR</t>
  </si>
  <si>
    <t>INGENIERIA DE PROYECTOS INTEGRALES S.A.S.</t>
  </si>
  <si>
    <t xml:space="preserve">MANTENIMIENTO Y REPARACIONES ADMINISTRATIVAS </t>
  </si>
  <si>
    <t>076-2021</t>
  </si>
  <si>
    <t>prestar el servicio de soporte mantenimiento consultoría y actualización de la aplicación de Conciliación DATA MATCH CONCISO WEB (nuevo versionamiento modelo SAAS)</t>
  </si>
  <si>
    <t>ASESORES DE SISTEMAS ESPECIALIZADOS EN SOFTWARE S.A.S.</t>
  </si>
  <si>
    <t>https://www.secop.gov.co/CO1BusinessLine/Tendering/ProcedureEdit/View?DocUniqueIdentifier=CO1.REQ.2834519&amp;PrevCtxLbl=Work+Area&amp;PrevCtxUrl=https%3a%2f%2fwww.secop.gov.co%2fCO1BusinessLine%2fTendering%2fBuyerWorkArea%2fIndex%3fDocUniqueIdentifier%3dCO1.BDOS.2703977&amp;Messages=Modificaci%C3%B3n%20aplicada%20%20|Success</t>
  </si>
  <si>
    <t>GASTOS DE CONVENCION COLECTIVA DE TRABAJO</t>
  </si>
  <si>
    <t>Vicepresidencia_Jurídica</t>
  </si>
  <si>
    <t>30 OTROS / OUTSOURCING VIGILANCIA</t>
  </si>
  <si>
    <t>30 OTROS / OUTSOURCING ASEO, CAFETERÍA</t>
  </si>
  <si>
    <t>Secretaría General</t>
  </si>
  <si>
    <t>ARRENDAMIENTO
TECNOLÓGICO</t>
  </si>
  <si>
    <t>061-2022</t>
  </si>
  <si>
    <t xml:space="preserve">prestar los servicios para la administración lógica y física de los equipos LAN/WLAN de LA PREVISORA S.A., a nivel nacional, manteniéndolos configurados y monitoreados para conservar la seguridad y disponibilidad del servicio. </t>
  </si>
  <si>
    <t>063-2022</t>
  </si>
  <si>
    <t>30 OTROS (SOFTWARE)</t>
  </si>
  <si>
    <t xml:space="preserve">EL PROVEEDOR proporcionará a LA PREVISORA S.A. el software con licencia para su uso en los sistemas de LA PREVISORA S.A. ("Software" y/o “Solución”) y / o servicios (incluidos los servicios SaaS, cuando aplique) (los "Servicios") identificados en este contrato y subsidiariamente en las Ordenes adjuntas </t>
  </si>
  <si>
    <t xml:space="preserve">FIS CAPITAL MARKETS US LLC </t>
  </si>
  <si>
    <t>Subgerencia de Transformación Digital</t>
  </si>
  <si>
    <t>072-2022</t>
  </si>
  <si>
    <t>prestar los servicios de infraestructura, suscripción, diseño de experiencia, diseño web, migración, desarrollo web, estrategia SEO (Search Engine Optimization – Optimización de motores de búsqueda), actividades de web máster, implementación y soporte del portal web y portal de aliados de LA PREVISORA S.A sobre la plataforma de experiencia digital Liferay DXP Cloud</t>
  </si>
  <si>
    <t xml:space="preserve">ARIA PSW S.A.S. </t>
  </si>
  <si>
    <t>Oficina De Control Interno</t>
  </si>
  <si>
    <t>083-2022</t>
  </si>
  <si>
    <t>prestar el servicio de auditoría interna, valoración del riesgo, auditoría de calidad, ambiental, innovación y seguimiento del Sistema de Control Interno</t>
  </si>
  <si>
    <t>ERNST &amp; YOUNG S.A.S.</t>
  </si>
  <si>
    <t>BISION CONSULTING S.A.S.</t>
  </si>
  <si>
    <t>091-2022</t>
  </si>
  <si>
    <t xml:space="preserve">Prestar los servicios de auditoría concurrente, médica, técnica, documental y jurídica de los reclamos presentados a nivel nacional, tanto por personas naturales como jurídicas, que afecten los amparo de las pólizas de los ramos de SOAT y Accidentes Personales expedidas por la Compañía. </t>
  </si>
  <si>
    <t xml:space="preserve">UNION TEMPORAL PREVISORA 2022 
</t>
  </si>
  <si>
    <t>https://community.secop.gov.co/Public/Tendering/ContractNoticePhases/View?PPI=CO1.PPI.23092358&amp;isFromPublicArea=True&amp;isModal=False</t>
  </si>
  <si>
    <t>106-2022</t>
  </si>
  <si>
    <t>suministrar sistemas de audio y video para las salas y la consola de sonido y los altavoces de los espacios internos de la compañía que LA PREVISORA S.A.  designe. Estos elementos se deben entregar con la correspondiente instalación, configuración, garantía, soporte técnico por treinta y seis (36) meses, y capacitación del manejo sobre los mismos.</t>
  </si>
  <si>
    <t>NECSYS S.A.S.</t>
  </si>
  <si>
    <t>109-2022</t>
  </si>
  <si>
    <t>prestar el servicio de mantenimiento, revisión, nivelación, recarga y descarga, de los extintores de fuego de propiedad de LA PREVISORA S.A. en la ciudad de Bogotá.</t>
  </si>
  <si>
    <t>EXTINTORES FIREXT S.A.S.</t>
  </si>
  <si>
    <t>115-2022</t>
  </si>
  <si>
    <t>prestar los servicios de suministro, renovación y soporte al licenciamiento en la plataforma Microsoft Office 365 y Real Connect, para uso de LA PREVISORA S.A.</t>
  </si>
  <si>
    <t>CONTROLES EMPRESARIALES S.A.S.</t>
  </si>
  <si>
    <t>https://community.secop.gov.co/Public/Tendering/ContractNoticePhases/View?PPI=CO1.PPI.24902099&amp;isFromPublicArea=True&amp;isModal=False</t>
  </si>
  <si>
    <t>Sucursal Estatal</t>
  </si>
  <si>
    <t>123-2022</t>
  </si>
  <si>
    <t>prestar los servicios de impresión de formularios de asegurabilidad y designación de beneficiarios para las pólizas de Vida Grupo Subsidiado y Voluntario del Ministerio de Defensa Nacional derivado de la Licitación 008 del año 2022</t>
  </si>
  <si>
    <t>ENSAMBLY PRODUCCIONES S.A.S.</t>
  </si>
  <si>
    <t>MULTISOFTWARE TRANSACCIONAL S.A.S.</t>
  </si>
  <si>
    <t>125-2022</t>
  </si>
  <si>
    <t>Suministrar los derechos de uso de software BIG SAS para almacenar la digitalización y digitación de información que se encuentra registrada en los formularios de las pólizas de seguros de vida del Ministerio de Defensa Nacional.</t>
  </si>
  <si>
    <t>BIG-BUSINESS INTERNATIONAL GROUP S.A.S.</t>
  </si>
  <si>
    <t>ORACLE COLOMBIA LIMITADA</t>
  </si>
  <si>
    <t>136-2022</t>
  </si>
  <si>
    <t xml:space="preserve">J.W. PROJECT HOUSE S.A.S. </t>
  </si>
  <si>
    <t>141-2022</t>
  </si>
  <si>
    <t>Constitución de Patrimonio Autónomo integrado por los recursos recibidos de los garantizados aportantes como requisito para la expedición de pólizas por el Fideicomitente ( Previsora Seguros) , con el fin de facilitar el derecho de subrogación que le otorga la ley</t>
  </si>
  <si>
    <t>FIDUCIARIA LA PREVISORA S.A.</t>
  </si>
  <si>
    <t>145-2022</t>
  </si>
  <si>
    <t>Prestar los servicios para la realización de estudios de seguridad a cada uno de los candidatos seleccionados para cubrir las vacantes de LA PREVISORA S.A., a través de la verificación de antecedentes penales y judiciales ante organismos del Estado, verificación de referencias laborales, académicas y personales, visita domiciliaria, entre otras, en cumplimiento de las especificaciones definidas en el Manual de Vinculación.</t>
  </si>
  <si>
    <t>SOLUCIONES EN INGREGRIDAD Y CUMPLIMIENTO LTDA.</t>
  </si>
  <si>
    <t>COLOMBIA SOFTWARE LTDA</t>
  </si>
  <si>
    <t>Prestar sus servicios en Colombia en calidad de operador de la información de acuerdo a la Ley 1266 de 2008 y norma que a futuro la modifique o complemente de consulta en línea y en batch de datos personales información comercial de personas naturales y/o jurídicas que se encuentren en procesos de vinculación y/o vinculadas comercialmente con LA PREVISORA S.A. así como la generación de procesos que permitan gestionar el riesgo al que se pueda ver expuesta LA PREVISORA S.A. en el desarrollo de sus relaciones comerciales con clientes e intermediarios.</t>
  </si>
  <si>
    <t>EXPERIAN COLOMBIA S.A.</t>
  </si>
  <si>
    <t>https://www.secop.gov.co/CO1BusinessLine/Tendering/ProcedureEdit/Amendment?ProfileName=CCE-11-Procedimiento_Publicidad&amp;PPI=CO1.PPI.23658873&amp;DocUniqueName=Aditamento&amp;DocTypeName=NextWay.Entities.Marketplace.Tendering.RequestAmendment&amp;ProfileVersion=10&amp;DocUniqueIdentifier=CO1.AMD.3225743&amp;prevCtxUrl=https%3a%2f%2fwww.secop.gov.co%3a443%2fCO1BusinessLine%2fTendering%2fProcedureEdit%2fAmendment%3fDocUniqueIdentifier%3dCO1.AMD.3225743&amp;prevCtxLbl=Proceso</t>
  </si>
  <si>
    <t>Prestación del servicio de inspección (vehículos livianos pesados motos y bicicletas) marcación vehicular (segmento livianos) y revisión técnico-mecánica de acuerdo con los términos y condiciones establecidas por LA PREVISORA S.A.</t>
  </si>
  <si>
    <t>AUTOMAS UNION TEMPORAL PRE021-2022</t>
  </si>
  <si>
    <t>https://www.secop.gov.co/CO1BusinessLine/Tendering/BuyerWorkArea/Index?docUniqueIdentifier=CO1.BDOS.4258603&amp;prevCtxUrl=https%3a%2f%2fwww.secop.gov.co%2fCO1BusinessLine%2fTendering%2fBuyerDossierWorkspace%2fIndex%3freference%3d008-2023%26createDateFrom%3d07%2f01%2f2023+10%3a50%3a00%26createDateTo%3d07%2f11%2f2023+22%3a50%3a00%26filteringState%3d0%26sortingState%3dLastModifiedDESC%26showAdvancedSearch%3dTrue%26showAdvancedSearchFields%3dFalse%26advSrchFolderCode%3dALL%26selectedDossier%3dCO1.BDOS.4258603%26selectedRequest%3dCO1.REQ.5062042%26&amp;prevCtxLbl=Procesos+de+la+Entidad+Estatal</t>
  </si>
  <si>
    <t>Subgerencia De Infraestructura Y Servicios De TI</t>
  </si>
  <si>
    <t>EL PROVEEDOR se compromete con LA PREVISORA S.A. a realizar el suministro y actualización sobre el licenciamiento del software Adobe Creative Cloud y el licenciamiento de Adobe Acrobat Pro.</t>
  </si>
  <si>
    <t>DISCOVERY ENTERPRISE BUSINESS S.A.S EN REORGANIZACION</t>
  </si>
  <si>
    <t>https://www.secop.gov.co/CO1BusinessLine/Tendering/ProcedureEdit/View?docUniqueIdentifier=CO1.REQ.4236778&amp;prevCtxUrl=https%3a%2f%2fwww.secop.gov.co%2fCO1BusinessLine%2fTendering%2fBuyerDossierWorkspace%2fIndex%3freference%3d010-2023%26createDateFrom%3d17%2f01%2f2022+15%3a22%3a00%26createDateTo%3d17%2f05%2f2023+15%3a22%3a00%26filteringState%3d0%26sortingState%3dLastModifiedDESC%26showAdvancedSearch%3dTrue%26showAdvancedSearchFields%3dFalse%26advSrchFolderCode%3dALL%26selectedDossier%3dCO1.BDOS.4139831%26selectedRequest%3dCO1.REQ.4236778%26&amp;prevCtxLbl=Procesos+de+la+Entidad+Estatal</t>
  </si>
  <si>
    <t>PUBLICACIONES, SUSCRIPCIONES Y BIBLIOTECA</t>
  </si>
  <si>
    <t>Prestar servicios de desarrollo (evolutivo y proyectos), soporte y mantenimiento de productos de software (bajo un modelo operativo tipo fábrica de software) y al SISTEMA, así como los servicios de Outsourcing que permita facilitar y optimizar la gestión de LA PREVISORA S.A.</t>
  </si>
  <si>
    <t xml:space="preserve">SISTRAN DE COLOMBIA S.A. </t>
  </si>
  <si>
    <t>https://www.secop.gov.co/CO1BusinessLine/Tendering/ProcedureEdit/View?docUniqueIdentifier=CO1.REQ.4686815&amp;prevCtxUrl=https%3a%2f%2fwww.secop.gov.co%2fCO1BusinessLine%2fTendering%2fBuyerDossierWorkspace%2fIndex%3freference%3d023-2023%26createDateFrom%3d19%2f01%2f2023+16%3a49%3a00%26createDateTo%3d19%2f07%2f2023+16%3a49%3a00%26filteringState%3d0%26sortingState%3dLastModifiedDESC%26showAdvancedSearch%3dTrue%26showAdvancedSearchFields%3dTrue%26advSrchFolderCode%3dALL%26selectedDossier%3dCO1.BDOS.4582812%26selectedRequest%3dCO1.REQ.4686815%26&amp;prevCtxLbl=Procesos+de+la+Entidad+Estatal</t>
  </si>
  <si>
    <t>EDITORIAL LA REPUBLICA S.A.S.</t>
  </si>
  <si>
    <t>AMERICAN ALARM ELECTRONICS SAS</t>
  </si>
  <si>
    <t>034-2023</t>
  </si>
  <si>
    <t xml:space="preserve">Suministro de bonos y/o tarjetas electrónicas redimibles en una amplia red de establecimientos comerciales y con un rango amplio de posibilidades de elección a nivel nacional. </t>
  </si>
  <si>
    <t>SODEXO SERVICIOS DE BENEFICIOS E INCENTIVOS COLOMBIA S.A.S</t>
  </si>
  <si>
    <t>AUXILIOS AL PERSONAL / BONIFICACIÓN DIRECTIVOS / PREMIOS CONCURSOS INTERNOS</t>
  </si>
  <si>
    <t>https://www.secop.gov.co/CO1BusinessLine/Tendering/ProcedureEdit/View?ProfileName=CCE-11-Procedimiento_Publicidad&amp;PPI=CO1.PPI.26291825&amp;DocUniqueName=Consulta&amp;DocTypeName=NextWay.Entities.Marketplace.Tendering.ProcedureRequest&amp;ProfileVersion=11&amp;DocUniqueIdentifier=CO1.REQ.4855632&amp;prevCtxUrl=https%3a%2f%2fwww.secop.gov.co%2fCO1BusinessLine%2fTendering%2fBuyerWorkArea%2fIndex%3fDocUniqueIdentifier%3dCO1.BDOS.4748925&amp;prevCtxLbl=&amp;Messages=Publicado%20|Success</t>
  </si>
  <si>
    <t>UNIVERSIDAD DE LA SABANA</t>
  </si>
  <si>
    <t>ACOMEDIOS PUBLICIDAD Y MERCADEO S.A.S.</t>
  </si>
  <si>
    <t>046-2023</t>
  </si>
  <si>
    <t>30 OTROS / OUTSOURCING BPO</t>
  </si>
  <si>
    <t>Contratar un proveedor que preste bajo la modalidad de outsourcing los servicios de BPO (Business Process Outsourcing) para la gestión integral de la documentación física y electrónica producida y recibida la administración del archivo de LA PREVISORA S.A COMPAÑÍA DE SEGUROS derivados de los procesos que se lleven a cabo debido a su objeto social la prestación del servicio de custodia organización y bodegaje de los archivos de gestión y central.</t>
  </si>
  <si>
    <t>CONSORCIO DATAFILE PROCESOS Y SERVICIOS</t>
  </si>
  <si>
    <t>https://www.secop.gov.co/CO1BusinessLine/Tendering/ProcedureEdit/View?docUniqueIdentifier=CO1.REQ.4686045&amp;prevCtxUrl=https%3a%2f%2fwww.secop.gov.co%2fCO1BusinessLine%2fTendering%2fBuyerDossierWorkspace%2fIndex%3freference%3d046-2023%26createDateFrom%3d26%2f01%2f2023+20%3a18%3a00%26createDateTo%3d26%2f07%2f2023+20%3a18%3a00%26filteringState%3d0%26sortingState%3dLastModifiedDESC%26showAdvancedSearch%3dTrue%26showAdvancedSearchFields%3dTrue%26advSrchFolderCode%3dALL%26selectedDossier%3dCO1.BDOS.4258295%26selectedRequest%3dCO1.REQ.4686045%26&amp;prevCtxLbl=Procesos+de+la+Entidad+Estatal</t>
  </si>
  <si>
    <t>30 OTROS / OUTSOURCING MENSAJERÍA</t>
  </si>
  <si>
    <t>PRI ASSOCIATION</t>
  </si>
  <si>
    <t>064-2023</t>
  </si>
  <si>
    <t>Servicios especializados para la implementación de una solución que permita la administración identificación detección protección y respuesta frente a posibles brechas de seguridad a nivel de fuga de información como lo es la solución de DLP (en inglés Data Loss Prevention).</t>
  </si>
  <si>
    <t>https://www.secop.gov.co/CO1BusinessLine/Tendering/ProcedureEdit/View?ProfileName=CCE-11-Procedimiento_Publicidad&amp;PPI=CO1.PPI.25592232&amp;DocUniqueName=Consulta&amp;DocTypeName=NextWay.Entities.Marketplace.Tendering.ProcedureRequest&amp;ProfileVersion=11&amp;DocUniqueIdentifier=CO1.REQ.4675354&amp;prevCtxUrl=https%3a%2f%2fwww.secop.gov.co%2fCO1BusinessLine%2fTendering%2fBuyerWorkArea%2fIndex%3fDocUniqueIdentifier%3dCO1.BDOS.4570700&amp;prevCtxLbl=&amp;Messages=Publicado%20|Success</t>
  </si>
  <si>
    <t>MANTENIMIENTO Y REPARACIONES TECNOLOGICAS</t>
  </si>
  <si>
    <t>ELECCION CONFIABLE SAS</t>
  </si>
  <si>
    <t>SELECCIÓN DE PERSONAL/FIRMAS ESPECIALIZADAS</t>
  </si>
  <si>
    <t>070-2023</t>
  </si>
  <si>
    <t>Realizar los trámites de saneamiento de los vehículos ante las entidades de tránsito en nombre de la Compañía.</t>
  </si>
  <si>
    <t>ASISTE MAS S.A.S.</t>
  </si>
  <si>
    <t>https://www.secop.gov.co/CO1BusinessLine/Tendering/BuyerWorkArea/Index?docUniqueIdentifier=CO1.BDOS.4566615&amp;prevCtxUrl=https%3a%2f%2fwww.secop.gov.co%2fCO1BusinessLine%2fTendering%2fBuyerDossierWorkspace%2fIndex%3freference%3d070-2023%26createDateFrom%3d04%2f03%2f2023+20%3a21%3a00%26createDateTo%3d04%2f09%2f2023+20%3a21%3a00%26filteringState%3d0%26sortingState%3dLastModifiedDESC%26showAdvancedSearch%3dTrue%26showAdvancedSearchFields%3dFalse%26advSrchFolderCode%3dALL%26selectedDossier%3dCO1.BDOS.4566615%26selectedRequest%3dCO1.REQ.4670079%26&amp;prevCtxLbl=Procesos+de+la+Entidad+Estatal</t>
  </si>
  <si>
    <t>BLOOMBERG L.P.</t>
  </si>
  <si>
    <t>LUIS HUMBERTO USTARIZ GONZALEZ</t>
  </si>
  <si>
    <t>SERVICIOS TEMPORALES / GASTOS DE EMISIÓN DE POLIZAS</t>
  </si>
  <si>
    <t>081-2023</t>
  </si>
  <si>
    <t xml:space="preserve">Prestar los servicios de ajuste a los siniestros de los ramos generales y patrimoniales, dentro del marco de las actividades relacionadas con la Vicepresidencia de Indemnizaciones. </t>
  </si>
  <si>
    <t>ASESORIAS INTEGRALES EN SEGUROS AISEG LTDA.</t>
  </si>
  <si>
    <t>https://www.secop.gov.co/CO1BusinessLine/Tendering/BuyerWorkArea/Index?docUniqueIdentifier=CO1.BDOS.5213431&amp;prevCtxUrl=https%3a%2f%2fwww.secop.gov.co%2fCO1BusinessLine%2fTendering%2fBuyerDossierWorkspace%2fIndex%3freference%3d081-2023%26createDateFrom%3d12%2f06%2f2023+20%3a16%3a00%26createDateTo%3d12%2f12%2f2023+20%3a16%3a00%26filteringState%3d0%26sortingState%3dLastModifiedDESC%26showAdvancedSearch%3dTrue%26showAdvancedSearchFields%3dFalse%26advSrchFolderCode%3dALL%26selectedDossier%3dCO1.BDOS.5213431%26selectedRequest%3dCO1.REQ.5329870%26&amp;prevCtxLbl=Procesos+de+la+Entidad+Estatal</t>
  </si>
  <si>
    <t>GLOBAL RESEARCH ASOCIADOS S.A.S.</t>
  </si>
  <si>
    <t>MANTENIMIENENTO Y REPARACIONES TECNOLÓGICAS</t>
  </si>
  <si>
    <t>MANTENIMIENTO Y
REPARACIONES
TECNOLOGICAS</t>
  </si>
  <si>
    <t>095-2023</t>
  </si>
  <si>
    <t>Contratar los servicios de una fábrica de software de nivel cinco (5) de acuerdo con el Modelo de Madurez de Capacidad Integrado (CMMI), que garantice la integración con aplicaciones legadas y la construcción de nuevos productos y servicios de software con plataformas modernas, alineadas con las nuevas prácticas ágiles de la industria, que mantengan y fortalezcan el logro de la estrategia de transformación digital de La Previsora Compañía de Seguros S.A.</t>
  </si>
  <si>
    <t xml:space="preserve">UNIÓN TEMPORAL ADA </t>
  </si>
  <si>
    <t>https://www.secop.gov.co/CO1BusinessLine/Tendering/BuyerWorkArea/Index?docUniqueIdentifier=CO1.BDOS.5084509&amp;prevCtxUrl=https%3a%2f%2fwww.secop.gov.co%2fCO1BusinessLine%2fTendering%2fBuyerDossierWorkspace%2fIndex%3freference%3d095-2023%26createDateFrom%3d07%2f05%2f2023+22%3a58%3a00%26createDateTo%3d07%2f11%2f2023+22%3a58%3a00%26filteringState%3d0%26sortingState%3dLastModifiedDESC%26showAdvancedSearch%3dTrue%26showAdvancedSearchFields%3dFalse%26advSrchFolderCode%3dALL%26selectedDossier%3dCO1.BDOS.5084509%26selectedRequest%3dCO1.REQ.5229958%26&amp;prevCtxLbl=Procesos+de+la+Entidad+Estatal</t>
  </si>
  <si>
    <t>Gerencia de Riesgos</t>
  </si>
  <si>
    <t>SEGURIDAD INFORMATICA Y
ADMINISTRACION DE
INFRAESTRUCTURA
TECNOLOGICA</t>
  </si>
  <si>
    <t>098-2023</t>
  </si>
  <si>
    <t xml:space="preserve">EL PROVEEDOR  se compromete a prestar los servicios de migración del esquema de autenticación en la red de LA PREVISORA S.A. y al suministro e instalación de equipos Access Point para el servicio de wifi, garantizando la continuidad y operatividad en el acceso a la red.	</t>
  </si>
  <si>
    <t>INV. ADQUISICIÓN ACTIVOS FIJOS</t>
  </si>
  <si>
    <t>https://www.secop.gov.co/CO1BusinessLine/Tendering/BuyerWorkArea/Index?docUniqueIdentifier=CO1.BDOS.5109844&amp;prevCtxUrl=https%3a%2f%2fwww.secop.gov.co%2fCO1BusinessLine%2fTendering%2fBuyerDossierWorkspace%2fIndex%3freference%3d098-2023%26createDateFrom%3d07%2f05%2f2023+22%3a57%3a00%26createDateTo%3d07%2f11%2f2023+22%3a57%3a00%26filteringState%3d0%26sortingState%3dLastModifiedDESC%26showAdvancedSearch%3dTrue%26showAdvancedSearchFields%3dFalse%26advSrchFolderCode%3dALL%26selectedDossier%3dCO1.BDOS.5109844%26selectedRequest%3dCO1.REQ.5224646%26&amp;prevCtxLbl=Procesos+de+la+Entidad+Estatal</t>
  </si>
  <si>
    <t>105-2023</t>
  </si>
  <si>
    <t>Prestar a nivel nacional el servicio de resguardo de repuestos, sobrantes y recolección de chatarra para el ramo de automóviles, así como servicio de resguardo, recolección de salvamentos de seguros generales y destrucción, disposición final de materiales no reutilizables para todos los ramos de LA PREVISORA S.A.</t>
  </si>
  <si>
    <t>BODEGAS SALVAMENTOS Y GENERALES SAS - BSG SALVAMENTOS</t>
  </si>
  <si>
    <t>https://www.secop.gov.co/CO1BusinessLine/Tendering/BuyerWorkArea/Index?docUniqueIdentifier=CO1.BDOS.5115505&amp;prevCtxUrl=https%3a%2f%2fwww.secop.gov.co%2fCO1BusinessLine%2fTendering%2fBuyerDossierWorkspace%2fIndex%3freference%3d105-2023%26createDateFrom%3d07%2f05%2f2023+23%3a04%3a00%26createDateTo%3d07%2f11%2f2023+23%3a04%3a00%26filteringState%3d0%26sortingState%3dLastModifiedDESC%26showAdvancedSearch%3dTrue%26showAdvancedSearchFields%3dFalse%26advSrchFolderCode%3dALL%26selectedDossier%3dCO1.BDOS.5115505%26selectedRequest%3dCO1.REQ.5229718%26&amp;prevCtxLbl=Procesos+de+la+Entidad+Estatal</t>
  </si>
  <si>
    <t>109-2023</t>
  </si>
  <si>
    <t>AUDATEX COLOMBIA S.A.S.</t>
  </si>
  <si>
    <t>https://www.secop.gov.co/CO1BusinessLine/Tendering/BuyerWorkArea/Index?docUniqueIdentifier=CO1.BDOS.5116515&amp;prevCtxUrl=https%3a%2f%2fwww.secop.gov.co%2fCO1BusinessLine%2fTendering%2fBuyerDossierWorkspace%2fIndex%3freference%3d109-2023%26createDateFrom%3d07%2f05%2f2023+23%3a12%3a00%26createDateTo%3d07%2f11%2f2023+23%3a12%3a00%26filteringState%3d0%26sortingState%3dLastModifiedDESC%26showAdvancedSearch%3dTrue%26showAdvancedSearchFields%3dFalse%26advSrchFolderCode%3dALL%26selectedDossier%3dCO1.BDOS.5116515%26selectedRequest%3dCO1.REQ.5230848%26&amp;prevCtxLbl=Procesos+de+la+Entidad+Estatal</t>
  </si>
  <si>
    <t>https://www.secop.gov.co/CO1BusinessLine/Tendering/BuyerWorkArea/Index?docUniqueIdentifier=CO1.BDOS.5115894&amp;prevCtxUrl=https%3a%2f%2fwww.secop.gov.co%2fCO1BusinessLine%2fTendering%2fBuyerDossierWorkspace%2fIndex%3freference%3d112-2023%26createDateFrom%3d07%2f05%2f2023+23%3a13%3a00%26createDateTo%3d07%2f11%2f2023+23%3a13%3a00%26filteringState%3d0%26sortingState%3dLastModifiedDESC%26showAdvancedSearch%3dTrue%26showAdvancedSearchFields%3dFalse%26advSrchFolderCode%3dALL%26selectedDossier%3dCO1.BDOS.5115894%26selectedRequest%3dCO1.REQ.5230326%26&amp;prevCtxLbl=Procesos+de+la+Entidad+Estatal</t>
  </si>
  <si>
    <t>113-2023</t>
  </si>
  <si>
    <t>EL PROVEEDOR se compromete a suministrar el servicio transaccional para la comercialización, administración y recaudo del ramo SOAT en ambiente WEB para todos los canales habilitados, con la integración total al sistema “core” de LA PREVISORA S.A. de acuerdo con las especificaciones del mercado, cumpliendo con los parámetros exigidos por LA PREVISORA S.A. y los requerimientos establecidos en las normas que regulan el SOAT.</t>
  </si>
  <si>
    <t>DYNAMIC CORPORATION LTDA</t>
  </si>
  <si>
    <t>126-2023</t>
  </si>
  <si>
    <t>EL PROVEEDOR se compromete con LA PREVISORA S.A a prestar el servicio y puesta a punto de un sistema de grabación en el esquema de canales SIP para grabación de contingencia.</t>
  </si>
  <si>
    <t>CALL PROCESSING TECHNOLOGIES S.A.</t>
  </si>
  <si>
    <t>https://www.secop.gov.co/CO1BusinessLine/Tendering/BuyerWorkArea/Index?docUniqueIdentifier=CO1.BDOS.5116529&amp;prevCtxUrl=https%3a%2f%2fwww.secop.gov.co%2fCO1BusinessLine%2fTendering%2fBuyerDossierWorkspace%2fIndex%3freference%3d126-2023%26createDateFrom%3d07%2f05%2f2023+23%3a18%3a00%26createDateTo%3d07%2f11%2f2023+23%3a18%3a00%26filteringState%3d0%26sortingState%3dLastModifiedDESC%26showAdvancedSearch%3dTrue%26showAdvancedSearchFields%3dFalse%26advSrchFolderCode%3dALL%26selectedDossier%3dCO1.BDOS.5116529%26selectedRequest%3dCO1.REQ.5231108%26&amp;prevCtxLbl=Procesos+de+la+Entidad+Estatal</t>
  </si>
  <si>
    <t>127-2023</t>
  </si>
  <si>
    <t xml:space="preserve">EL PROVEEDOR se compromete con LA PREVISORA S.A a prestar los servicios de ajuste a los siniestros de los ramos generales y patrimoniales, dentro del marco de las actividades relacionadas con la Vicepresidencia de Indemnizaciones. </t>
  </si>
  <si>
    <t>CASTIBLANCO &amp; ASOCIADOS AJUSTADORES DE SEGUROS SAS.</t>
  </si>
  <si>
    <t>https://www.secop.gov.co/CO1BusinessLine/Tendering/BuyerWorkArea/Index?docUniqueIdentifier=CO1.BDOS.5120464&amp;prevCtxUrl=https%3a%2f%2fwww.secop.gov.co%2fCO1BusinessLine%2fTendering%2fBuyerDossierWorkspace%2fIndex%3freference%3d127-2023%26createDateFrom%3d09%2f05%2f2023+14%3a43%3a00%26createDateTo%3d09%2f11%2f2023+14%3a43%3a00%26filteringState%3d0%26sortingState%3dLastModifiedDESC%26showAdvancedSearch%3dTrue%26showAdvancedSearchFields%3dFalse%26advSrchFolderCode%3dALL%26selectedDossier%3dCO1.BDOS.5120464%26selectedRequest%3dCO1.REQ.5235312%26&amp;prevCtxLbl=Procesos+de+la+Entidad+Estatal</t>
  </si>
  <si>
    <t>129-2023</t>
  </si>
  <si>
    <t>HHGUERRERO Y COMPAÑIA LTDA ANALISTAS DE RIESGOS</t>
  </si>
  <si>
    <t>https://www.secop.gov.co/CO1BusinessLine/Tendering/BuyerWorkArea/Index?docUniqueIdentifier=CO1.BDOS.5116739&amp;prevCtxUrl=https%3a%2f%2fwww.secop.gov.co%2fCO1BusinessLine%2fTendering%2fBuyerDossierWorkspace%2fIndex%3freference%3d129-2023%26createDateFrom%3d09%2f05%2f2023+14%3a39%3a00%26createDateTo%3d09%2f11%2f2023+14%3a39%3a00%26filteringState%3d0%26sortingState%3dLastModifiedDESC%26showAdvancedSearch%3dTrue%26showAdvancedSearchFields%3dFalse%26advSrchFolderCode%3dALL%26selectedDossier%3dCO1.BDOS.5116739%26selectedRequest%3dCO1.REQ.5231107%26&amp;prevCtxLbl=Procesos+de+la+Entidad+Estatal</t>
  </si>
  <si>
    <t>MANTENIMIENENTO Y REPARACIONES TECNOLÓGICAS/ARRENDAMIENTO TECNOLOGICO</t>
  </si>
  <si>
    <t>132-2023</t>
  </si>
  <si>
    <t>MCLARENS COLOMBIA LIMITADA.</t>
  </si>
  <si>
    <t>https://community.secop.gov.co/Public/Tendering/ContractNoticePhases/View?PPI=CO1.PPI.30592103&amp;isFromPublicArea=True&amp;isModal=False</t>
  </si>
  <si>
    <t>134-2023</t>
  </si>
  <si>
    <t>GENERAL CLAIMS AND RISK CONSULTING LTDA.</t>
  </si>
  <si>
    <t>135-2023</t>
  </si>
  <si>
    <t>INSULARI CONSULTORES S.A.S</t>
  </si>
  <si>
    <t>https://community.secop.gov.co/Public/Tendering/ContractNoticePhases/View?PPI=CO1.PPI.29010641&amp;isFromPublicArea=True&amp;isModal=False</t>
  </si>
  <si>
    <t>137-2023</t>
  </si>
  <si>
    <t>LOSSGROUP CRITERIA LCC SAS.</t>
  </si>
  <si>
    <t>https://www.secop.gov.co/CO1BusinessLine/Tendering/BuyerWorkArea/Index?docUniqueIdentifier=CO1.BDOS.5840249&amp;prevCtxUrl=https%3a%2f%2fwww.secop.gov.co%2fCO1BusinessLine%2fTendering%2fBuyerDossierWorkspace%2fIndex%3fallWords2Search%3d137-2023%26createDateFrom%3d27%2f09%2f2023+16%3a15%3a02%26createDateTo%3d27%2f03%2f2024+16%3a15%3a02%26filteringState%3d0%26sortingState%3dLastModifiedDESC%26showAdvancedSearch%3dFalse%26showAdvancedSearchFields%3dFalse%26folderCode%3dALL%26selectedDossier%3dCO1.BDOS.5840249%26selectedRequest%3dCO1.REQ.5957392%26&amp;prevCtxLbl=Procesos+de+la+Entidad+Estatal</t>
  </si>
  <si>
    <t>138-2023</t>
  </si>
  <si>
    <t>D &amp; G ASESORES LTDA.</t>
  </si>
  <si>
    <t>https://www.secop.gov.co/CO1BusinessLine/Tendering/BuyerWorkArea/Index?docUniqueIdentifier=CO1.BDOS.5226870&amp;prevCtxUrl=https%3a%2f%2fwww.secop.gov.co%2fCO1BusinessLine%2fTendering%2fBuyerDossierWorkspace%2fIndex%3freference%3d138-2023%26createDateFrom%3d12%2f06%2f2023+20%3a20%3a00%26createDateTo%3d12%2f12%2f2023+20%3a20%3a00%26filteringState%3d0%26sortingState%3dLastModifiedDESC%26showAdvancedSearch%3dTrue%26showAdvancedSearchFields%3dFalse%26advSrchFolderCode%3dALL%26selectedDossier%3dCO1.BDOS.5226870%26selectedRequest%3dCO1.REQ.5343791%26&amp;prevCtxLbl=Procesos+de+la+Entidad+Estatal</t>
  </si>
  <si>
    <t>139-2023</t>
  </si>
  <si>
    <t>INGETECH COLOMBIAN GROUP S A S CLAIMS &amp; RISK MANAGMENT</t>
  </si>
  <si>
    <t>https://www.secop.gov.co/CO1BusinessLine/Tendering/BuyerWorkArea/Index?docUniqueIdentifier=CO1.BDOS.5220103&amp;prevCtxUrl=https%3a%2f%2fwww.secop.gov.co%2fCO1BusinessLine%2fTendering%2fBuyerDossierWorkspace%2fIndex%3freference%3d139-2023%26createDateFrom%3d12%2f06%2f2023+20%3a22%3a00%26createDateTo%3d12%2f12%2f2023+20%3a22%3a00%26filteringState%3d0%26sortingState%3dLastModifiedDESC%26showAdvancedSearch%3dTrue%26showAdvancedSearchFields%3dFalse%26advSrchFolderCode%3dALL%26selectedDossier%3dCO1.BDOS.5220103%26selectedRequest%3dCO1.REQ.5336260%26&amp;prevCtxLbl=Procesos+de+la+Entidad+Estatal</t>
  </si>
  <si>
    <t>141-2023</t>
  </si>
  <si>
    <t>AJUSTADORES DE OCCIDENTE S.A.S.</t>
  </si>
  <si>
    <t>https://www.secop.gov.co/CO1BusinessLine/Tendering/BuyerWorkArea/Index?docUniqueIdentifier=CO1.BDOS.5219663&amp;prevCtxUrl=https%3a%2f%2fwww.secop.gov.co%2fCO1BusinessLine%2fTendering%2fBuyerDossierWorkspace%2fIndex%3freference%3d141-2023%26createDateFrom%3d12%2f06%2f2023+20%3a19%3a00%26createDateTo%3d12%2f12%2f2023+20%3a19%3a00%26filteringState%3d0%26sortingState%3dLastModifiedDESC%26showAdvancedSearch%3dTrue%26showAdvancedSearchFields%3dFalse%26advSrchFolderCode%3dALL%26selectedDossier%3dCO1.BDOS.5219663%26selectedRequest%3dCO1.REQ.5335791%26&amp;prevCtxLbl=Procesos+de+la+Entidad+Estatal</t>
  </si>
  <si>
    <t>142-2023</t>
  </si>
  <si>
    <t>PROTECCION ASEGURADORES COLOMBIANOS S.A. PROASCOL S.A.</t>
  </si>
  <si>
    <t>https://community.secop.gov.co/Public/Tendering/ContractNoticePhases/View?PPI=CO1.PPI.29606682&amp;isFromPublicArea=True&amp;isModal=False</t>
  </si>
  <si>
    <t>145-2023</t>
  </si>
  <si>
    <t>30 OTROS /OUTSOURCING  MESA DE SERVICIOS</t>
  </si>
  <si>
    <t xml:space="preserve">Prestar el servicio bajo la modalidad de outsourcing de gestión de la mesa de servicios tecnológicos de TI a través de un equipo de trabajo idóneo y especializado, aplicando las buenas prácticas de ITIL en su última versión y marcos de referencia de mejora continua, donde incluya entre otros, los siguientes componentes asociados a la gestión: Administración y gestión de la mesa de servicio, soporte técnico en sitio, gestores de operación del servicio, entrega oportuna del servicio, seguimiento del ciclo de vida de los servicios de TI, generación de valor de los servicios tecnológicos entregados y la alineación con la estrategia corporativa. </t>
  </si>
  <si>
    <t xml:space="preserve">INFORMÁTICA &amp; TECNOLOGÍA STEFANINI S.A.  </t>
  </si>
  <si>
    <t>https://community.secop.gov.co/Public/Tendering/ContractNoticePhases/View?PPI=CO1.PPI.28173247&amp;isFromPublicArea=True&amp;isModal=False</t>
  </si>
  <si>
    <t>SAS INSTITUTE COLOMBIA S.A.S.</t>
  </si>
  <si>
    <t>151-2023</t>
  </si>
  <si>
    <t>EL PROVEEDOR se compromete con LA PREVISORA S.A a prestar los servicios de ajuste a los siniestros de los ramos generales y patrimoniales, dentro del marco de las actividades relacionadas con la Vicepresidencia de Indemnizaciones.</t>
  </si>
  <si>
    <t>JOSE A CACERES Y CIA LTDA.</t>
  </si>
  <si>
    <t>https://www.secop.gov.co/CO1BusinessLine/Tendering/BuyerWorkArea/Index?docUniqueIdentifier=CO1.BDOS.5122284&amp;prevCtxUrl=https%3a%2f%2fwww.secop.gov.co%2fCO1BusinessLine%2fTendering%2fBuyerDossierWorkspace%2fIndex%3freference%3d151-2023%26createDateFrom%3d12%2f06%2f2023+20%3a19%3a00%26createDateTo%3d12%2f12%2f2023+20%3a19%3a00%26filteringState%3d0%26sortingState%3dLastModifiedDESC%26showAdvancedSearch%3dTrue%26showAdvancedSearchFields%3dFalse%26advSrchFolderCode%3dALL%26selectedDossier%3dCO1.BDOS.5122284%26selectedRequest%3dCO1.REQ.5236681%26&amp;prevCtxLbl=Procesos+de+la+Entidad+Estatal</t>
  </si>
  <si>
    <t>159-2023</t>
  </si>
  <si>
    <t>ASEGÚRATE LTDA. AUDITORIA TECNICA EN SEGUROS LIMITADA</t>
  </si>
  <si>
    <t>https://www.secop.gov.co/CO1BusinessLine/Tendering/ProcedureEdit/View?ProfileName=CCE-11-Procedimiento_Publicidad&amp;PPI=CO1.PPI.28523704&amp;DocUniqueName=Consulta&amp;DocTypeName=NextWay.Entities.Marketplace.Tendering.ProcedureRequest&amp;ProfileVersion=11&amp;DocUniqueIdentifier=CO1.REQ.5326099&amp;prevCtxUrl=https%3a%2f%2fwww.secop.gov.co%2fCO1BusinessLine%2fTendering%2fBuyerWorkArea%2fIndex%3fDocUniqueIdentifier%3dCO1.BDOS.5207234&amp;prevCtxLbl=&amp;Messages=Publicado%20|Success</t>
  </si>
  <si>
    <t xml:space="preserve">Gerencia de Desarrollo Comercial </t>
  </si>
  <si>
    <t>INVERFAS S.A.</t>
  </si>
  <si>
    <t>161-2023</t>
  </si>
  <si>
    <t>EL INTERMEDIARIO DE SEGUROS se compromete a prestar los servicios de intermediación, asesoría y administración del programa de seguros de LA PREVISORA S.A, para los ramos de Todo Riesgo Daños Materiales, Manejo, Transporte de Valores, Responsabilidad Civil Extracontractual, Automóviles, Responsabilidad Civil Servidores Públicos, Riesgos Cibernéticos, Infidelidad y Riesgos Financieros, Vida Exequial, Vida Grupo, Vida Deudor, Incendio y Terremoto y todas aquellas que pueda llegar a requerir la Compañía.</t>
  </si>
  <si>
    <t>WILLIS TOWERS WATSON COLOMBIA CORREDORES DE SEGUROS SA</t>
  </si>
  <si>
    <t>https://www.secop.gov.co/CO1BusinessLine/Tendering/ProcedureEdit/View?docUniqueIdentifier=CO1.REQ.5252842&amp;prevCtxUrl=https%3a%2f%2fwww.secop.gov.co%2fCO1BusinessLine%2fTendering%2fBuyerDossierWorkspace%2fIndex%3freference%3d161-2023%26createDateFrom%3d20%2f05%2f2023+20%3a25%3a00%26createDateTo%3d20%2f11%2f2023+20%3a25%3a00%26filteringState%3d0%26sortingState%3dLastModifiedDESC%26showAdvancedSearch%3dTrue%26showAdvancedSearchFields%3dFalse%26advSrchFolderCode%3dALL%26selectedDossier%3dCO1.BDOS.5138042%26selectedRequest%3dCO1.REQ.5252842%26&amp;prevCtxLbl=Procesos+de+la+Entidad+Estatal</t>
  </si>
  <si>
    <t>162-2023</t>
  </si>
  <si>
    <t xml:space="preserve">EL PROVEEDOR se obliga con LA PREVISORA S.A. a prestar bajo la figura de alquiler el servicio especializado de vehículo de reemplazo a los asegurados de LA PREVISORA del seguro de vehículos livianos.    </t>
  </si>
  <si>
    <t>RENTING COLOMBIA S.A.S.</t>
  </si>
  <si>
    <t xml:space="preserve">GASTO DE EMISIÓN DE POLIZAS </t>
  </si>
  <si>
    <t>https://www.secop.gov.co/CO1BusinessLine/Tendering/BuyerWorkArea/Index?docUniqueIdentifier=CO1.BDOS.5109564&amp;prevCtxUrl=https%3a%2f%2fwww.secop.gov.co%2fCO1BusinessLine%2fTendering%2fBuyerDossierWorkspace%2fIndex%3freference%3d162-2023%26createDateFrom%3d22%2f06%2f2023+17%3a51%3a00%26createDateTo%3d22%2f12%2f2023+17%3a51%3a00%26filteringState%3d0%26sortingState%3dLastModifiedDESC%26showAdvancedSearch%3dTrue%26showAdvancedSearchFields%3dFalse%26advSrchFolderCode%3dALL%26selectedDossier%3dCO1.BDOS.5109564%26selectedRequest%3dCO1.REQ.5223881%26&amp;prevCtxLbl=Procesos+de+la+Entidad+Estatal</t>
  </si>
  <si>
    <t>163-2023</t>
  </si>
  <si>
    <t xml:space="preserve">prestar los servicios de ajuste a los siniestros de los ramos generales y patrimoniales, dentro del marco de las actividades relacionadas con la Vicepresidencia de Indemnizaciones. </t>
  </si>
  <si>
    <t>RM AJUSTADORES S.A.S.</t>
  </si>
  <si>
    <t>https://www.secop.gov.co/CO1BusinessLine/Tendering/ProcedureEdit/View?docUniqueIdentifier=CO1.REQ.5617857&amp;prevCtxUrl=https%3a%2f%2fwww.secop.gov.co%2fCO1BusinessLine%2fTendering%2fBuyerDossierWorkspace%2fIndex%3freference%3d163-2023%26createDateFrom%3d29%2f07%2f2023+14%3a00%3a00%26createDateTo%3d29%2f01%2f2024+14%3a00%3a00%26filteringState%3d0%26sortingState%3dLastModifiedDESC%26showAdvancedSearch%3dTrue%26showAdvancedSearchFields%3dFalse%26advSrchFolderCode%3dALL%26selectedDossier%3dCO1.BDOS.5500456%26selectedRequest%3dCO1.REQ.5617857%26&amp;prevCtxLbl=Procesos+de+la+Entidad+Estatal</t>
  </si>
  <si>
    <t>164-2023</t>
  </si>
  <si>
    <t>prestar servicios de adquisición, renovación, revocación y reposición de los certificados digitales para sitio seguro SSL de las páginas web publicadas por La Previsora y para firmas digitales asignadas al personal de la compañía.</t>
  </si>
  <si>
    <t>ANDES SERVICIO DE CERTIFICACION DIGITAL S.A.</t>
  </si>
  <si>
    <t>https://www.secop.gov.co/CO1BusinessLine/Tendering/BuyerWorkArea/Index?docUniqueIdentifier=CO1.BDOS.5435331&amp;prevCtxUrl=https%3a%2f%2fwww.secop.gov.co%2fCO1BusinessLine%2fTendering%2fBuyerDossierWorkspace%2fIndex%3fcreateDateFrom%3d17%2f07%2f2023+18%3a13%3a52%26createDateTo%3d17%2f01%2f2024+18%3a13%3a52%26filteringState%3d1%26sortingState%3dLastModifiedDESC%26showAdvancedSearch%3dFalse%26showAdvancedSearchFields%3dFalse%26folderCode%3dALL%26selectedDossier%3dCO1.BDOS.5435331%26selectedRequest%3dCO1.REQ.5552451%26&amp;prevCtxLbl=Procesos+de+la+Entidad+Estatal</t>
  </si>
  <si>
    <t>165-2023</t>
  </si>
  <si>
    <t xml:space="preserve">EL ARRENDADOR entrega en arriendo a EL ARRENDATARIO el uso y goce del apartamento M1 ubicado en la calle 59 # 8 - 21 del edificio Tundana de la cuidad de Bogotá. </t>
  </si>
  <si>
    <t>INDUSTRIALMEDIA S.A.</t>
  </si>
  <si>
    <t>https://www.secop.gov.co/CO1BusinessLine/Tendering/BuyerWorkArea/Index?docUniqueIdentifier=CO1.BDOS.5172798&amp;prevCtxUrl=https%3a%2f%2fwww.secop.gov.co%2fCO1BusinessLine%2fTendering%2fBuyerDossierWorkspace%2fIndex%3freference%3d165-2023%26createDateFrom%3d22%2f06%2f2023+17%3a53%3a00%26createDateTo%3d22%2f12%2f2023+17%3a53%3a00%26filteringState%3d0%26sortingState%3dLastModifiedDESC%26showAdvancedSearch%3dTrue%26showAdvancedSearchFields%3dFalse%26advSrchFolderCode%3dALL%26selectedDossier%3dCO1.BDOS.5172798%26selectedRequest%3dCO1.REQ.5288562%26&amp;prevCtxLbl=Procesos+de+la+Entidad+Estatal</t>
  </si>
  <si>
    <t>169-2023</t>
  </si>
  <si>
    <t>Prestar el mantenimiento preventivo y correctivo del sistema de apantallamiento (pararrayos), sistema de puesta a tierra, Instalación de DPS, para el edificio de la Casa Matriz calle 57 No. 9-07, parqueaderos y Regional Estatal oficina de Indemnizaciones zona Centro, bajo las normas estándares y normativas vigentes, incluida la mano de obra y los repuestos.</t>
  </si>
  <si>
    <t>MANTENIMIENTO Y 
REPARACIONES 
ADMINISTRATIVAS</t>
  </si>
  <si>
    <t>https://community.secop.gov.co/Public/Tendering/ContractNoticePhases/View?PPI=CO1.PPI.29507152&amp;isFromPublicArea=True&amp;isModal=False</t>
  </si>
  <si>
    <t>AIR CONTROL SYSTEMS S.A.S</t>
  </si>
  <si>
    <t>172-2023</t>
  </si>
  <si>
    <t>EL PROVEEDOR actuando con sus propios medios, bajo su cuenta y riesgo, con autonomía técnica y administrativa se obliga con LA PREVISORA S.A. a suministrar y distribuir elementos de oficina, útiles, papelería, elementos de aseo y cafetería a nivel nacional, bajo un esquema de proveeduría integral.</t>
  </si>
  <si>
    <t>UNIÓN TEMPORAL IMAGEN 2023</t>
  </si>
  <si>
    <t>https://www.secop.gov.co/CO1BusinessLine/Tendering/ProcedureEdit/View?ProfileName=CCE-11-Procedimiento_Publicidad&amp;PPI=CO1.PPI.28968475&amp;DocUniqueName=Consulta&amp;DocTypeName=NextWay.Entities.Marketplace.Tendering.ProcedureRequest&amp;ProfileVersion=12&amp;DocUniqueIdentifier=CO1.REQ.5451007&amp;prevCtxUrl=https%3a%2f%2fwww.secop.gov.co%2fCO1BusinessLine%2fTendering%2fBuyerWorkArea%2fIndex%3fDocUniqueIdentifier%3dCO1.BDOS.5332826&amp;prevCtxLbl=&amp;Messages=Publicado%20|Success</t>
  </si>
  <si>
    <t>YOSI ESTEBAN BARRIOS GARCIA</t>
  </si>
  <si>
    <t>Sucursal Florencia</t>
  </si>
  <si>
    <t>177-2023</t>
  </si>
  <si>
    <t>CAESCA S.A.S.</t>
  </si>
  <si>
    <t>https://www.secop.gov.co/CO1BusinessLine/Tendering/ProcedureEdit/View?docUniqueIdentifier=CO1.REQ.5640633&amp;prevCtxUrl=https%3a%2f%2fwww.secop.gov.co%2fCO1BusinessLine%2fTendering%2fBuyerDossierWorkspace%2fIndex%3freference%3d177-2023%26createDateFrom%3d29%2f07%2f2023+14%3a15%3a00%26createDateTo%3d29%2f01%2f2024+14%3a15%3a00%26filteringState%3d0%26sortingState%3dLastModifiedDESC%26showAdvancedSearch%3dTrue%26showAdvancedSearchFields%3dFalse%26advSrchFolderCode%3dALL%26selectedDossier%3dCO1.BDOS.5523410%26selectedRequest%3dCO1.REQ.5640633%26&amp;prevCtxLbl=Procesos+de+la+Entidad+Estatal</t>
  </si>
  <si>
    <t>178-2023</t>
  </si>
  <si>
    <t>AJUSEGUROS S.A.S.</t>
  </si>
  <si>
    <t>https://community.secop.gov.co/Public/Tendering/ContractNoticePhases/View?PPI=CO1.PPI.30592160&amp;isFromPublicArea=True&amp;isModal=False</t>
  </si>
  <si>
    <t>CONTRIBUCIONES Y
AFILIACIONES</t>
  </si>
  <si>
    <t>LADY MARCELA ROMERO ZARTA</t>
  </si>
  <si>
    <t>187-2023</t>
  </si>
  <si>
    <t>B.P.F. FUMIBEL LTDA</t>
  </si>
  <si>
    <t>ASEO Y CAFETERIA</t>
  </si>
  <si>
    <t>https://www.secop.gov.co/CO1BusinessLine/Tendering/ProcedureEdit/View?docUniqueIdentifier=CO1.REQ.5551523&amp;prevCtxUrl=https%3a%2f%2fwww.secop.gov.co%2fCO1BusinessLine%2fTendering%2fBuyerDossierWorkspace%2fIndex%3freference%3d187-2023%26createDateFrom%3d29%2f07%2f2023+14%3a11%3a00%26createDateTo%3d29%2f01%2f2024+14%3a11%3a00%26filteringState%3d0%26sortingState%3dLastModifiedDESC%26showAdvancedSearch%3dTrue%26showAdvancedSearchFields%3dFalse%26advSrchFolderCode%3dALL%26selectedDossier%3dCO1.BDOS.5434120%26selectedRequest%3dCO1.REQ.5551523%26&amp;prevCtxLbl=Procesos+de+la+Entidad+Estatal</t>
  </si>
  <si>
    <t>188-2023</t>
  </si>
  <si>
    <t>Prestar y garantizar el servicio integral de bodegaje almacenamiento y custodia de salvamentos de seguros generales (muebles enseres entre otros) y vehículos asegurados por LA PREVISORA S.A.</t>
  </si>
  <si>
    <t>SERVICIOS INTEGRADOS AUTOMOTRIZ S.A.S.</t>
  </si>
  <si>
    <t>190-2023</t>
  </si>
  <si>
    <t>prestar el servicio de renovación del derecho de soporte para los elementos que componen la infraestructura de VoIp como el software Assurance (SWA), soporte de fábrica, soporte técnico, mantenimiento, troncales SIP y la administración de telefonía VoIp.</t>
  </si>
  <si>
    <t>https://www.secop.gov.co/CO1BusinessLine/Tendering/ProcedureEdit/View?docUniqueIdentifier=CO1.REQ.5557513&amp;prevCtxUrl=https%3a%2f%2fwww.secop.gov.co%2fCO1BusinessLine%2fTendering%2fBuyerDossierWorkspace%2fIndex%3freference%3d190-2023%26createDateFrom%3d29%2f07%2f2023+14%3a14%3a00%26createDateTo%3d29%2f01%2f2024+14%3a14%3a00%26filteringState%3d0%26sortingState%3dLastModifiedDESC%26showAdvancedSearch%3dTrue%26showAdvancedSearchFields%3dFalse%26advSrchFolderCode%3dALL%26selectedDossier%3dCO1.BDOS.5440116%26selectedRequest%3dCO1.REQ.5557513%26&amp;prevCtxLbl=Procesos+de+la+Entidad+Estatal</t>
  </si>
  <si>
    <t>191-2023</t>
  </si>
  <si>
    <t>prestar el servicio especializado de administración, cobranza, conciliación de cartera a nivel nacional, mediante la gestión de campañas preventivas para recordación de pago y la gestión a la cartera vencida.</t>
  </si>
  <si>
    <t>FINLECO BPO S.A.S.</t>
  </si>
  <si>
    <t>COMISIONES GESTIONES DE
COBRANZA</t>
  </si>
  <si>
    <t>https://www.secop.gov.co/CO1BusinessLine/Tendering/BuyerWorkArea/Index?docUniqueIdentifier=CO1.BDOS.5435363&amp;prevCtxUrl=https%3a%2f%2fwww.secop.gov.co%2fCO1BusinessLine%2fTendering%2fBuyerDossierWorkspace%2fIndex%3fcreateDateFrom%3d17%2f07%2f2023+18%3a15%3a53%26createDateTo%3d17%2f01%2f2024+18%3a15%3a53%26filteringState%3d1%26sortingState%3dLastModifiedDESC%26showAdvancedSearch%3dFalse%26showAdvancedSearchFields%3dFalse%26folderCode%3dALL%26selectedDossier%3dCO1.BDOS.5435363%26selectedRequest%3dCO1.REQ.5552786%26&amp;prevCtxLbl=Procesos+de+la+Entidad+Estatal</t>
  </si>
  <si>
    <t>DUE DILIGENCE SUPPORT SERVICES COLOMBIA S A</t>
  </si>
  <si>
    <t>SEPA PUBLICIDAD S.A.S.</t>
  </si>
  <si>
    <t>195-2023</t>
  </si>
  <si>
    <t xml:space="preserve">prestar sus servicios para el análisis, diseño, parametrización, pruebas, implementación, capacitación y configuración de requerimientos del Sistema de Gestión Documental en el aplicativo OnBase con su respectivo licenciamiento. </t>
  </si>
  <si>
    <t>GIGA COLOMBIA SAS</t>
  </si>
  <si>
    <t>https://www.secop.gov.co/CO1BusinessLine/Tendering/ProcedureEdit/View?docUniqueIdentifier=CO1.REQ.5575316&amp;prevCtxUrl=https%3a%2f%2fwww.secop.gov.co%2fCO1BusinessLine%2fTendering%2fBuyerDossierWorkspace%2fIndex%3freference%3d195-2023%26createDateFrom%3d29%2f07%2f2023+14%3a15%3a00%26createDateTo%3d29%2f01%2f2024+14%3a15%3a00%26filteringState%3d0%26sortingState%3dLastModifiedDESC%26showAdvancedSearch%3dTrue%26showAdvancedSearchFields%3dFalse%26advSrchFolderCode%3dALL%26selectedDossier%3dCO1.BDOS.5458172%26selectedRequest%3dCO1.REQ.5575316%26&amp;prevCtxLbl=Procesos+de+la+Entidad+Estatal</t>
  </si>
  <si>
    <t>197-2023</t>
  </si>
  <si>
    <t xml:space="preserve">suministrar y prestar el servicio de actualización soporte y mantenimiento del licenciamiento actual y de nuevas versiones de la herramienta de gestión documental OnBase. </t>
  </si>
  <si>
    <t>https://community.secop.gov.co/Public/Tendering/ContractNoticePhases/View?PPI=CO1.PPI.29299300&amp;isFromPublicArea=True&amp;isModal=False</t>
  </si>
  <si>
    <t>INV. INTANGIBLES DIFERIDOS - OTROS</t>
  </si>
  <si>
    <t>SBS SEGUROS COLOMBIA S.A.</t>
  </si>
  <si>
    <t>ALLIANZ SEGUROS DE VIDA S A</t>
  </si>
  <si>
    <t>TERMINACIÓN ANTICIPADA</t>
  </si>
  <si>
    <t>SIMPLIFICADA</t>
  </si>
  <si>
    <t>GASTOS EMISION DE POLIZAS</t>
  </si>
  <si>
    <t>Sucursal Quibdo</t>
  </si>
  <si>
    <t>002-2024</t>
  </si>
  <si>
    <t xml:space="preserve">Prestación del servicio de tramites notariales que requiera LA PREVISORA S.A. </t>
  </si>
  <si>
    <t>PATRICIA TELLEZ LOMBANA</t>
  </si>
  <si>
    <t>https://www.secop.gov.co/CO1BusinessLine/Tendering/ProcedureEdit/View?ProfileName=CCE-11-Procedimiento_Publicidad&amp;PPI=CO1.PPI.37421895&amp;DocUniqueName=Consulta&amp;DocTypeName=NextWay.Entities.Marketplace.Tendering.ProcedureRequest&amp;ProfileVersion=12&amp;DocUniqueIdentifier=CO1.REQ.7729304&amp;prevCtxUrl=https%3a%2f%2fwww.secop.gov.co%2fCO1BusinessLine%2fTendering%2fBuyerWorkArea%2fIndex%3fDocUniqueIdentifier%3dCO1.BDOS.7594158&amp;prevCtxLbl=&amp;Messages=Publicado%20|Success</t>
  </si>
  <si>
    <t>004-2024</t>
  </si>
  <si>
    <t>Prestar los servicios de un sistema de información desplegado como un SaaS (Software as a Service) en la nube del fabricante, que permita la gestión consolidada de los riesgos de LA PREVISORA S.A. de manera automática.</t>
  </si>
  <si>
    <t>NEWNET S.A. - EN REORGANIZACIÓN</t>
  </si>
  <si>
    <t>ARRENDAMIENTO TECNOLÓGICO</t>
  </si>
  <si>
    <t>POLITECNICO GRANCOLOMBIANO</t>
  </si>
  <si>
    <t>007-2024</t>
  </si>
  <si>
    <t>prestar el servicio de fotocopiado de documentos, para lo cual utilizará la infraestructura necesaria y equipos multifuncionales de su propiedad instalados y puestos en funcionamiento en las instalaciones de LA PREVISORA S.A.</t>
  </si>
  <si>
    <t>NEW COPIERS TECNOLOGY LTDA</t>
  </si>
  <si>
    <t>FOTOCOPIAS</t>
  </si>
  <si>
    <t>https://community.secop.gov.co/Public/Tendering/ContractNoticePhases/View?PPI=CO1.PPI.29547183&amp;isFromPublicArea=True&amp;isModal=False</t>
  </si>
  <si>
    <t>INSTITUTO NACIONAL DE INVESTIGACION Y PREVENCION DE FRAUDE LTDA INIF</t>
  </si>
  <si>
    <t>NESTOR MORA Y ASOCIADOS CONSULTORES DE RIESGOS LTDA</t>
  </si>
  <si>
    <t>ELEMENTOS PROMOCIONALES Y PUBLICIDAD Y PROPAGANDA</t>
  </si>
  <si>
    <t>VIGILANCIA MERCANCIA PUERTOS</t>
  </si>
  <si>
    <t>GRUPO OET S.A.S.</t>
  </si>
  <si>
    <t>HIC RISK CONTROL SAS</t>
  </si>
  <si>
    <t>FUNDACION INSTITUTO NACIONAL DE SEGUROS</t>
  </si>
  <si>
    <t>026-2024</t>
  </si>
  <si>
    <t>Suministrar dos canales de comunicación capa 3 con redundancia para realizar la conexión con el Banco de la República para el consumo de CUD y SEBRA.</t>
  </si>
  <si>
    <t>EMPRESA DE TELECOMUNICACIONES DE BOGOTÁ S.A. E.S.P - ETB S.A. E.S.P</t>
  </si>
  <si>
    <t>https://www.secop.gov.co/CO1BusinessLine/Tendering/ProcedureEdit/View?ProfileName=CCE-11-Procedimiento_Publicidad&amp;PPI=CO1.PPI.31791355&amp;DocUniqueName=Consulta&amp;DocTypeName=NextWay.Entities.Marketplace.Tendering.ProcedureRequest&amp;ProfileVersion=12&amp;DocUniqueIdentifier=CO1.REQ.6238696&amp;prevCtxUrl=https%3a%2f%2fwww.secop.gov.co%2fCO1BusinessLine%2fTendering%2fBuyerWorkArea%2fIndex%3fDocUniqueIdentifier%3dCO1.BDOS.6117191&amp;prevCtxLbl=&amp;Messages=Publicado%20|Success</t>
  </si>
  <si>
    <t>EDITORIAL JURIDICA CONTRATACION EN LINEA SAS</t>
  </si>
  <si>
    <t>SIGNAL MARKETING S.A.S.</t>
  </si>
  <si>
    <t>036-2024</t>
  </si>
  <si>
    <t>Suscripción digital del diario de La República para los funcionarios de la compañía que designe LA PREVISORA S.A.</t>
  </si>
  <si>
    <t>https://www.secop.gov.co/CO1BusinessLine/Tendering/ProcedureEdit/View?docUniqueIdentifier=CO1.REQ.6550950&amp;prevCtxUrl=https%3a%2f%2fwww.secop.gov.co%2fCO1BusinessLine%2fTendering%2fBuyerDossierWorkspace%2fIndex%3fallWords2Search%3d036-2024%26createDateFrom%3d03%2f04%2f2024+22%3a06%3a53%26createDateTo%3d03%2f10%2f2024+22%3a06%3a53%26filteringState%3d1%26sortingState%3dLastModifiedDESC%26showAdvancedSearch%3dFalse%26showAdvancedSearchFields%3dFalse%26folderCode%3dALL%26selectedDossier%3dCO1.BDOS.6425746%26selectedRequest%3dCO1.REQ.6550950%26&amp;prevCtxLbl=Procesos+de+la+Entidad+Estatal</t>
  </si>
  <si>
    <t>042-2024</t>
  </si>
  <si>
    <t>Adquisición, instalación, configuración, parametrización, afinamiento, soporte y el servicio técnico de mantenimiento preventivo y correctivo a las UPS de LA PREVISORA S.A.</t>
  </si>
  <si>
    <t>SUCOMPUTO S.A.S. SUCOMPUTO INFRAESTRUCTURA
TECNOLOGICA S.A.S.</t>
  </si>
  <si>
    <t>https://www.secop.gov.co/CO1BusinessLine/Tendering/BuyerWorkArea/Index?docUniqueIdentifier=CO1.BDOS.6423038&amp;prevCtxUrl=https%3a%2f%2fwww.secop.gov.co%2fCO1BusinessLine%2fTendering%2fBuyerDossierWorkspace%2fIndex%3fallWords2Search%3d042-2024%26createDateFrom%3d03%2f04%2f2024+21%3a52%3a52%26createDateTo%3d03%2f10%2f2024+21%3a52%3a52%26filteringState%3d1%26sortingState%3dLastModifiedDESC%26showAdvancedSearch%3dFalse%26showAdvancedSearchFields%3dFalse%26folderCode%3dALL%26selectedDossier%3dCO1.BDOS.6423038%26selectedRequest%3dCO1.REQ.6771655%26&amp;prevCtxLbl=Procesos+de+la+Entidad+Estatal</t>
  </si>
  <si>
    <t>045-2024</t>
  </si>
  <si>
    <t>Realizar la intermediación para el cubrimiento de los riesgos derivados de la póliza de hospitalización y cirugía de LA PREVISORA S.A.</t>
  </si>
  <si>
    <t>AON RISK SERVICES COLOMBIA S.A CORREDORES DE SEGUROS</t>
  </si>
  <si>
    <t>https://www.secop.gov.co/CO1BusinessLine/Tendering/ProcedureEdit/View?ProfileName=CCE-11-Procedimiento_Publicidad&amp;PPI=CO1.PPI.31792599&amp;DocUniqueName=Consulta&amp;DocTypeName=NextWay.Entities.Marketplace.Tendering.ProcedureRequest&amp;ProfileVersion=12&amp;DocUniqueIdentifier=CO1.REQ.6239411&amp;prevCtxUrl=https%3a%2f%2fwww.secop.gov.co%2fCO1BusinessLine%2fTendering%2fBuyerWorkArea%2fIndex%3fDocUniqueIdentifier%3dCO1.BDOS.6117494&amp;prevCtxLbl=&amp;Messages=Publicado%20|Success</t>
  </si>
  <si>
    <t>PEOPLE´S VOICE SAS</t>
  </si>
  <si>
    <t>ANDREI SANCHEZ MORENO</t>
  </si>
  <si>
    <t>ASOCIACION COLOMBIANA DE CORREDORES DE SEGUROS</t>
  </si>
  <si>
    <t xml:space="preserve">NELSON ENRIQUE CHALA CASTILLO </t>
  </si>
  <si>
    <t>CESVI COLOMBIA S.A.</t>
  </si>
  <si>
    <t>FIDEM SOLUTIONS SAS</t>
  </si>
  <si>
    <t>AM CONSULTORIAS Y ASESORIAS S.A.S.</t>
  </si>
  <si>
    <t>SOTO LUNA ABOGADOS S.A.S.</t>
  </si>
  <si>
    <t>COLONNA ASESORES SAS</t>
  </si>
  <si>
    <t>SANTOYO &amp; CONTRERAS ABOGADOS S.A.S</t>
  </si>
  <si>
    <t>TRUJILLO POLANIA &amp; ASOCIADOS S.A.S</t>
  </si>
  <si>
    <t>ALVARO LUNA CONDE - ABOGADOS ESPECIALIZADOS S.A.S</t>
  </si>
  <si>
    <t>073-2024</t>
  </si>
  <si>
    <t>Proveer licenciamiento y servicio de información financiera de emisores locales e internacionales, para descarga y monitoreo.</t>
  </si>
  <si>
    <t>https://www.secop.gov.co/CO1BusinessLine/Tendering/ProcedureEdit/View?ProfileName=CCE-11-Procedimiento_Publicidad&amp;PPI=CO1.PPI.31900306&amp;DocUniqueName=Consulta&amp;DocTypeName=NextWay.Entities.Marketplace.Tendering.ProcedureRequest&amp;ProfileVersion=12&amp;DocUniqueIdentifier=CO1.REQ.6265115&amp;prevCtxUrl=https%3a%2f%2fwww.secop.gov.co%2fCO1BusinessLine%2fTendering%2fBuyerWorkArea%2fIndex%3fDocUniqueIdentifier%3dCO1.BDOS.6142679&amp;prevCtxLbl=&amp;Messages=Publicado%20|Success</t>
  </si>
  <si>
    <t>CAPACITACION DE PERSONAL
Y CONGRESOS, FOROS,
SEMINARIOS Y SIMILARES</t>
  </si>
  <si>
    <t>076-2024</t>
  </si>
  <si>
    <t>Prestar el servicio de licenciamiento administración y soporte de la solución de PAM (Privileged Access Manager) Cyberark que permita la gestión de usuarios privilegiados de manera centralizada.</t>
  </si>
  <si>
    <t>NEOSECURE COLOMBIA SAS</t>
  </si>
  <si>
    <t>https://www.secop.gov.co/CO1BusinessLine/Tendering/ProcedureEdit/View?ProfileName=CCE-11-Procedimiento_Publicidad&amp;PPI=CO1.PPI.32118830&amp;DocUniqueName=Consulta&amp;DocTypeName=NextWay.Entities.Marketplace.Tendering.ProcedureRequest&amp;ProfileVersion=12&amp;DocUniqueIdentifier=CO1.REQ.6313606&amp;prevCtxUrl=https%3a%2f%2fwww.secop.gov.co%2fCO1BusinessLine%2fTendering%2fBuyerWorkArea%2fIndex%3fDocUniqueIdentifier%3dCO1.BDOS.6190449&amp;prevCtxLbl=&amp;Messages=Publicado%20|Success</t>
  </si>
  <si>
    <t>FIRMA DE ABOGADOS JACQUELINE ROMERO ESTRADA S.A.S.</t>
  </si>
  <si>
    <t>DIANA LESLIE BLANCO ESTUDIO JURÍDICO S.A.S.</t>
  </si>
  <si>
    <t>VILLEGAS &amp; VILLEGAS ABOGADOS S.A.S.</t>
  </si>
  <si>
    <t>GIL ROA ABOGADOS S.A.S.</t>
  </si>
  <si>
    <t>WILCHES ABOGADOS S.A.S.</t>
  </si>
  <si>
    <t>LUMAROH ABOGADOS S.A.S.</t>
  </si>
  <si>
    <t>SOCIEDAD IBH INGENIERIOS EN BOMBAS HIDRAULICAS S.A.S</t>
  </si>
  <si>
    <t>BENEFIT - ESTUDIOS ACTUARIALES S.A.S</t>
  </si>
  <si>
    <t>TRANSEQUIPOS S.A.</t>
  </si>
  <si>
    <t>SERVICIOS JURIDICOS GLOBALES S.A.S.</t>
  </si>
  <si>
    <t>MERLANO ABOGADOS S.A.S.</t>
  </si>
  <si>
    <t>NADDIE SAS</t>
  </si>
  <si>
    <t>117-2024</t>
  </si>
  <si>
    <t>prestar los servicios de asistencia de automóviles domiciliaria y personas para los asegurados de LA PREVISORA S.A.</t>
  </si>
  <si>
    <t>UNIÓN TEMPORAL IKE CAMARCA</t>
  </si>
  <si>
    <t>Automoviles: 29%
Domiciliaria: 25%
Personas: 15%</t>
  </si>
  <si>
    <t>Automoviles 23% 
Domiciliaria: 25%
Personas: 15%</t>
  </si>
  <si>
    <t>https://www.secop.gov.co/CO1BusinessLine/Tendering/ProcedureEdit/View?docUniqueIdentifier=CO1.REQ.6549807&amp;prevCtxUrl=https%3a%2f%2fwww.secop.gov.co%2fCO1BusinessLine%2fTendering%2fBuyerDossierWorkspace%2fIndex%3fallWords2Search%3d117-2024%26createDateFrom%3d03%2f04%2f2024+22%3a02%3a22%26createDateTo%3d03%2f10%2f2024+22%3a02%3a22%26filteringState%3d1%26sortingState%3dLastModifiedDESC%26showAdvancedSearch%3dFalse%26showAdvancedSearchFields%3dFalse%26folderCode%3dALL%26selectedDossier%3dCO1.BDOS.6424423%26selectedRequest%3dCO1.REQ.6549807%26&amp;prevCtxLbl=Procesos+de+la+Entidad+Estatal</t>
  </si>
  <si>
    <t>Representar en calidad tanto activa como pasiva a LA PREVISORA S.A. en los procesos judiciales, pre-judiciales, de responsabilidad fiscal, procedimientos administrativos, arbitramentos y en general en todo tipo de litigio o procedimiento encomendado, dentro del marco de las actividades relacionadas con la vicepresidencia jurídica.</t>
  </si>
  <si>
    <t>TORRES NIETO LEGAL S.A.S.</t>
  </si>
  <si>
    <t>126-2024</t>
  </si>
  <si>
    <t xml:space="preserve">Suministro de personal temporal en misión, con el fin de cubrir los reemplazos de los funcionarios de LA PREVISORA S.A., que se encuentren en vacaciones, en uso de licencia de maternidad, en incapacidad por enfermedad o por incrementos en la producción y/o en los demás casos descritos en la ley. </t>
  </si>
  <si>
    <t xml:space="preserve">TEMPOTRABAJO S.A.S. </t>
  </si>
  <si>
    <t>https://www.secop.gov.co/CO1BusinessLine/Tendering/ProcedureEdit/Update?DocUniqueIdentifier=CO1.REQ.6648086</t>
  </si>
  <si>
    <t>YOSI ESTEBAN BARRIOS GARCÍA</t>
  </si>
  <si>
    <t>ELEMENTOS VARIOS FUNGIBLES</t>
  </si>
  <si>
    <t>130-2024</t>
  </si>
  <si>
    <t>Realizar la georreferenciación de los riesgos que indique LA PREVISORA S.A. garantizando el cumplimiento a lo establecido en el Decreto 4865 de 2011 emitido por el Ministerio de Hacienda y Crédito Público.</t>
  </si>
  <si>
    <t>CAMPOS TERREMOTO SAS</t>
  </si>
  <si>
    <t>GEORREFERENCIACION</t>
  </si>
  <si>
    <t>https://www.secop.gov.co/CO1BusinessLine/Tendering/ProcedureEdit/Update?DocUniqueIdentifier=CO1.REQ.6674663</t>
  </si>
  <si>
    <t>2NV S.A.S.</t>
  </si>
  <si>
    <t>KENNEDYS COLOMBIA SAS</t>
  </si>
  <si>
    <t>GARCIA HARKER ABOGADOS S.A.S.</t>
  </si>
  <si>
    <t>NEIRA &amp; GOMEZ ABOGADOS SAS</t>
  </si>
  <si>
    <t>140-2024</t>
  </si>
  <si>
    <t>RISK MANAGEMENT SOLUTIONS, INC</t>
  </si>
  <si>
    <t>https://www.secop.gov.co/CO1BusinessLine/Tendering/ProcedureEdit/View?ProfileName=CCE-11-Procedimiento_Publicidad&amp;PPI=CO1.PPI.37504763&amp;DocUniqueName=Consulta&amp;DocTypeName=NextWay.Entities.Marketplace.Tendering.ProcedureRequest&amp;ProfileVersion=12&amp;DocUniqueIdentifier=CO1.REQ.7756462&amp;prevCtxUrl=https%3a%2f%2fwww.secop.gov.co%2fCO1BusinessLine%2fTendering%2fBuyerWorkArea%2fIndex%3fDocUniqueIdentifier%3dCO1.BDOS.7621085&amp;prevCtxLbl=&amp;Messages=Publicado%20|Success</t>
  </si>
  <si>
    <t>INSTITUTO COLOMBIANO DE NORMAS TECNICAS Y CERTIFICACION ICONTEC</t>
  </si>
  <si>
    <t>144-2024</t>
  </si>
  <si>
    <t>Prestación de los servicios integrales de aseo, limpieza, desinfección y cafetería a nivel nacional, y el servicio de mantenimiento a través de operarios (toderos) para casa matriz en Bogotá, bajo la modalidad de outsourcing.</t>
  </si>
  <si>
    <t xml:space="preserve">AMERICANA DE SERVICIOS LTDA </t>
  </si>
  <si>
    <t>https://community.secop.gov.co/Public/Tendering/ContractNoticePhases/View?PPI=CO1.PPI.34792143&amp;isFromPublicArea=True&amp;isModal=False</t>
  </si>
  <si>
    <t>Gerencia De Indemnizaciones Soat, Vida Y AP</t>
  </si>
  <si>
    <t xml:space="preserve">Prestar los servicios de apoyo técnico operativo al proceso de indemnizaciones de los ramos SOAT y Accidentes personales. </t>
  </si>
  <si>
    <t>NICOL TATIANA MENDOZA VARELA</t>
  </si>
  <si>
    <t>MIGUEL ANGEL POLANCO RAMOS</t>
  </si>
  <si>
    <t>OSCAR IVAN ORDOÑEZ JIMENEZ</t>
  </si>
  <si>
    <t>MABEL ELIANA CAMELO PARDO</t>
  </si>
  <si>
    <t>ETEK INTERNATIONAL CORPORATION SUCURSAL COLOMBIA</t>
  </si>
  <si>
    <t>Gerencia de Negocios Estatales
Gerencia de Contratacion</t>
  </si>
  <si>
    <t>159-2024</t>
  </si>
  <si>
    <t>Prestación de servicios profesionales de asesoría jurídica en contratación estatal y privada.</t>
  </si>
  <si>
    <t>DE VIVERO &amp; ASOCIADOS SAS</t>
  </si>
  <si>
    <t>LICITACIONES</t>
  </si>
  <si>
    <t>https://community.secop.gov.co/Public/Tendering/ContractNoticePhases/View?PPI=CO1.PPI.35537448&amp;isFromPublicArea=True&amp;isModal=False</t>
  </si>
  <si>
    <t>COMPAÑÍA COLOMBIANA DE SERVICIO AUTOMOTRIZ S.A. COLSERAUTO S.A.</t>
  </si>
  <si>
    <t>161-2024</t>
  </si>
  <si>
    <t>Prestar los servicios especializados sobre la plataforma de Sistema Gestor de Identidades para la actualización integración soporte y mantenimiento a la plataforma de Oracle Identity Governance.</t>
  </si>
  <si>
    <t>SOAIN SOFTWARE ASSOCIATES S A S</t>
  </si>
  <si>
    <t>https://www.secop.gov.co/CO1BusinessLine/Tendering/ProcedureEdit/View?docUniqueIdentifier=CO1.REQ.6970599&amp;prevCtxUrl=https%3a%2f%2fwww.secop.gov.co%2fCO1BusinessLine%2fTendering%2fBuyerDossierWorkspace%2fIndex%3fcreateDateFrom%3d07%2f04%2f2024+21%3a11%3a58%26createDateTo%3d07%2f10%2f2024+21%3a11%3a58%26filteringState%3d1%26sortingState%3dLastModifiedDESC%26showAdvancedSearch%3dFalse%26showAdvancedSearchFields%3dFalse%26folderCode%3dALL%26selectedDossier%3dCO1.BDOS.6841357%26selectedRequest%3dCO1.REQ.6970599%26&amp;prevCtxLbl=Procesos+de+la+Entidad+Estatal</t>
  </si>
  <si>
    <t>166-2024</t>
  </si>
  <si>
    <t>Prestar los servicios de Revisoría Fiscal a LA PREVISORA S.A. conforme con las normas legales vigentes aplicables a LA PREVISORA S.A., en especial las previstas en el artículo 207 del Código de Comercio, Estatuto Orgánico del Sistema Financiero, Circular Externa 029 de 2014 (Circular Básica Jurídica).</t>
  </si>
  <si>
    <t>BDO AUDIT S.A.S. BIC</t>
  </si>
  <si>
    <t>https://www.secop.gov.co/CO1BusinessLine/Tendering/ProcedureEdit/View?docUniqueIdentifier=CO1.REQ.6880306&amp;prevCtxUrl=https%3a%2f%2fwww.secop.gov.co%2fCO1BusinessLine%2fTendering%2fBuyerDossierWorkspace%2fIndex%3fallWords2Search%3d166-2024%26createDateFrom%3d08%2f04%2f2024+13%3a56%3a36%26createDateTo%3d08%2f10%2f2024+13%3a56%3a36%26filteringState%3d1%26sortingState%3dLastModifiedDESC%26showAdvancedSearch%3dFalse%26showAdvancedSearchFields%3dFalse%26folderCode%3dALL%26selectedDossier%3dCO1.BDOS.6751323%26selectedRequest%3dCO1.REQ.6880306%26&amp;prevCtxLbl=Procesos+de+la+Entidad+Estatal</t>
  </si>
  <si>
    <t>HERAS ABOGADOS S.A.S.</t>
  </si>
  <si>
    <t>YUDY ANGELICA CELIS MORALES</t>
  </si>
  <si>
    <t>VERONICA CAVIEDES RAMIREZ</t>
  </si>
  <si>
    <t>Subgerencia de Planeación Comercial</t>
  </si>
  <si>
    <t>176-2024</t>
  </si>
  <si>
    <t>Renovar el licenciamiento para uso de la plataforma SALESFORCE.COM de productos Force.com- Enterprise Edition (Enterprise Applications), Sales Cloud Lightning CRMEnterprise Edition (Spanish), Partner Community Members y Data Storage (10 GB), con el fin que LA PREVISORA S.A. de cumplimiento a la protección de derechos de propiedad intelectual.</t>
  </si>
  <si>
    <t>QUANTICS SAS</t>
  </si>
  <si>
    <t>https://community.secop.gov.co/Public/Tendering/ContractNoticePhases/View?PPI=CO1.PPI.34862265&amp;isFromPublicArea=True&amp;isModal=False</t>
  </si>
  <si>
    <t>177-2024</t>
  </si>
  <si>
    <t>servicios profesionales de peritaje especializado de daños que sufran y/o causen los vehículos y/o bicicletas que conforman el parque automotor asegurado por LA PREVISORA S.A. y que afecten las pólizas expedidas bajo el ramo de automóviles (incluye todos los amparos).</t>
  </si>
  <si>
    <t>https://community.secop.gov.co/Public/Tendering/ContractNoticePhases/View?PPI=CO1.PPI.34891060&amp;isFr</t>
  </si>
  <si>
    <t>178-2024</t>
  </si>
  <si>
    <t>servicio de mantenimiento, soporte técnico, capacitación y desarrollos de la plataforma ISOLUCION.</t>
  </si>
  <si>
    <t>ISOLUCION SISTEMAS INTEGRADOS DE GESTION S.A.</t>
  </si>
  <si>
    <t>PAOLA MARCELA AARON COVELLI</t>
  </si>
  <si>
    <t>185-2024</t>
  </si>
  <si>
    <t>servicios renovación del licenciamiento de la plataforma de modelamiento ERWIN EVOLVE, y los servicios de diseño, construcción, soporte y mantenimiento de los componentes de arquitectura que conforman el metamodelo y repositorio de la arquitectura empresarial de LA PREVISORA S.A.</t>
  </si>
  <si>
    <t>MANAGEMENT AND QUALITY S.A.S.</t>
  </si>
  <si>
    <t>https://community.secop.gov.co/Public/Tendering/ContractNoticePhases/View?PPI=CO1.PPI.35083438&amp;isFromPublicArea=True&amp;isModal=False</t>
  </si>
  <si>
    <t>188-2024</t>
  </si>
  <si>
    <t xml:space="preserve">servicios de financiación de primas de seguros y gestión y administración de recuperación o cobro de cartera con el fin de facilitar a los tomadores y/o asegurados de LA PREVISORA S.A. la adquisición de los seguros comercializados por esta. </t>
  </si>
  <si>
    <t>https://community.secop.gov.co/Public/Tendering/ContractNoticePhases/View?PPI=CO1.PPI.34894359&amp;isFromPublicArea=True&amp;isModal=False</t>
  </si>
  <si>
    <t>Gerencia De Innovación Y Procesos 
Gerencia de Tecnología</t>
  </si>
  <si>
    <t>191-2024</t>
  </si>
  <si>
    <t>Suministrar el derecho que permita el uso de la herramienta Agility para el correcto funcionamiento y ejecución de los asistentes robóticos desarrollados e implementados en la plataforma provista por LA PREVISORA S.A.</t>
  </si>
  <si>
    <t>ENTERDEV S. A. S.</t>
  </si>
  <si>
    <t>195-2024</t>
  </si>
  <si>
    <t>Prestar el servicio de antivirus con tecnología XDR en solución SaaS.</t>
  </si>
  <si>
    <t>https://www.secop.gov.co/CO1BusinessLine/Tendering/ProcedureEdit/View?ProfileName=CCE-11-Procedimiento_Publicidad&amp;PPI=CO1.PPI.37479929&amp;DocUniqueName=Consulta&amp;DocTypeName=NextWay.Entities.Marketplace.Tendering.ProcedureRequest&amp;ProfileVersion=12&amp;DocUniqueIdentifier=CO1.REQ.7747891&amp;prevCtxUrl=https%3a%2f%2fwww.secop.gov.co%2fCO1BusinessLine%2fTendering%2fBuyerWorkArea%2fIndex%3fDocUniqueIdentifier%3dCO1.BDOS.7613182&amp;prevCtxLbl=&amp;Messages=Publicado%20|Success</t>
  </si>
  <si>
    <t>Gerencia de Desarrollo Comercial</t>
  </si>
  <si>
    <t>INSTITUTO DE AUDITORES INTERNOS DE COLOMBIA</t>
  </si>
  <si>
    <t>202-2024</t>
  </si>
  <si>
    <t>Realizar la renovación del licenciamiento de los módulos del Sistema SAS®, sumado a la prestación del servicio de soporte técnico brindar capacitación a los funcionarios que LA PREVISORA S.A. designe del curso denominado Workshop SAS® Office Analytics.</t>
  </si>
  <si>
    <t>206-2024</t>
  </si>
  <si>
    <t>Prestar el servicio de mantenimiento y soporte técnico al software ScoreBoard/QuickScore, incluyendo actualización y capacitación de nuevas de versiones.</t>
  </si>
  <si>
    <t>208-2024</t>
  </si>
  <si>
    <t>Prestar el servicio de soporte, mantenimiento y desarrollo especializado de la herramienta SALESFORCE.COM incluido Analytics CRM y cualquier herramienta del paquete/Suite SALESFORCE.</t>
  </si>
  <si>
    <t>VASS CONSULTORIA DE SISTEMAS COLOMBIA S.A.S</t>
  </si>
  <si>
    <t>209-2024</t>
  </si>
  <si>
    <t xml:space="preserve">UNION SOLUCIONES SISTEMAS DE INFORMACIÓN S.A.S </t>
  </si>
  <si>
    <t>https://community.secop.gov.co/Public/Tendering/ContractNoticePhases/View?PPI=CO1.PPI.36111454&amp;isFromPublicArea=True&amp;isModal=False</t>
  </si>
  <si>
    <t>212-2024</t>
  </si>
  <si>
    <t>Prestar sus servicios de envío de correo electrónico certificado incluido su soporte y mantenimiento</t>
  </si>
  <si>
    <t>CAMERFIRMA COLOMBIA SAS</t>
  </si>
  <si>
    <t>https://community.secop.gov.co/Public/Tendering/ContractNoticePhases/View?PPI=CO1.PPI.36076754&amp;isFromPublicArea=True&amp;isModal=False</t>
  </si>
  <si>
    <t>215-2024</t>
  </si>
  <si>
    <t>Representar en calidad tanto activa como pasiva a LA PREVISORA S.A. en las audiencias de procesos judiciales, pre-judiciales, de responsabilidad fiscal, procedimientos administrativos, arbitramentos y en general en todo tipo de litigio que se sean asignadas, dentro del marco de las actividades relacionadas con la vicepresidencia Jurídica y la gerencia de Litigios.</t>
  </si>
  <si>
    <t>BM LAW &amp; BUSINESS SAS</t>
  </si>
  <si>
    <t>https://community.secop.gov.co/Public/Tendering/ContractNoticePhases/View?PPI=CO1.PPI.37759286&amp;isFromPublicArea=True&amp;isModal=False</t>
  </si>
  <si>
    <t>216-2024</t>
  </si>
  <si>
    <t>Prestará el servicio de custodia de valores, de conformidad con la Ley Aplicable, para los Activos Custodiados de propiedad del Custodiado.</t>
  </si>
  <si>
    <t>BNP PARIBAS SECURITIES SERVICES SOCIEDAD FIDUCIARIA SA</t>
  </si>
  <si>
    <t>https://community.secop.gov.co/Public/Tendering/ContractNoticePhases/View?PPI=CO1.PPI.37548876&amp;isFromPublicArea=True&amp;isModal=False</t>
  </si>
  <si>
    <t>217-2024</t>
  </si>
  <si>
    <t xml:space="preserve">Representar en calidad tanto activa como pasiva a LA PREVISORA S.A. en los procesos judiciales, prejudiciales, de responsabilidad fiscal, procedimientos administrativos, arbitramentos y en general en todo tipo de litigio o procedimiento encomendado, dentro del marco de las competencias de la Vicepresidencia Jurídica de La Previsora S.A. </t>
  </si>
  <si>
    <t>ECONOMIA DERECHO Y SOCIEDAD S A S</t>
  </si>
  <si>
    <t>https://community.secop.gov.co/Public/Tendering/ContractNoticePhases/View?PPI=CO1.PPI.36958116&amp;isFromPublicArea=True&amp;isModal=False</t>
  </si>
  <si>
    <t>218-2024</t>
  </si>
  <si>
    <t xml:space="preserve">Prestar el servicio de licenciamiento, mantenimiento y actualización del Software Midas. </t>
  </si>
  <si>
    <t>HEINSOHN BUSINESS TECHNOLOGY S.A BIC</t>
  </si>
  <si>
    <t>https://community.secop.gov.co/Public/Tendering/ContractNoticePhases/View?PPI=CO1.PPI.37693523&amp;isFromPublicArea=True&amp;isModal=False</t>
  </si>
  <si>
    <t>219-2024</t>
  </si>
  <si>
    <t>Prestar  los servicios profesionales especializados en investigación de mercados y benchmarking a nivel nacional, bajo la modalidad de "bolsa de investigación".</t>
  </si>
  <si>
    <t>https://community.secop.gov.co/Public/Tendering/ContractNoticePhases/View?PPI=CO1.PPI.35546446&amp;isFromPublicArea=True&amp;isModal=False</t>
  </si>
  <si>
    <t>223-2024</t>
  </si>
  <si>
    <t>Entrega en arrendamiento a EL ARRENDATARIO el uso y goce de la Oficina 404, ubicada en la Transversal 9 N° 55-97 Edificio VIMA de la ciudad de Bogotá D.C</t>
  </si>
  <si>
    <t>VIVIANA VIGOYA OROZCO</t>
  </si>
  <si>
    <t>https://community.secop.gov.co/Public/Tendering/ContractNoticePhases/View?PPI=CO1.PPI.37694747&amp;isFromPublicArea=True&amp;isModal=False</t>
  </si>
  <si>
    <t>227-2024</t>
  </si>
  <si>
    <t xml:space="preserve">Representar en calidad tanto activa como pasiva a LA PREVISORA S.A. en los procesos judiciales, pre-judiciales, de responsabilidad fiscal, procedimientos administrativos, arbitramentos y en general en todo tipo de litigio o procedimiento encomendado, dentro del marco de las actividades relacionadas con la vicepresidencia jurídica. </t>
  </si>
  <si>
    <t>SOLUCIONIS LEGAL S.A.S.</t>
  </si>
  <si>
    <t>https://community.secop.gov.co/Public/Tendering/ContractNoticePhases/View?PPI=CO1.PPI.37422477&amp;isFromPublicArea=True&amp;isModal=False</t>
  </si>
  <si>
    <t>Subgerencia De Infraestructura Y Servicios de Ti</t>
  </si>
  <si>
    <t>229-2024</t>
  </si>
  <si>
    <t xml:space="preserve">suministrar la Suite de Licenciamiento de la herramienta de gestión de servicios tecnológicos de la mesa de servicio, instalación, parametrización, soporte y mantenimiento. </t>
  </si>
  <si>
    <t>ARANDA SOFTWARE ANDINA S A S</t>
  </si>
  <si>
    <t>230-2024</t>
  </si>
  <si>
    <t>Prestación del servicio de mantenimiento y soporte a los aplicativos LevinAssets (LA) y LevinAssets Mobile (LAM) y de equipos (dispositivos móviles) e Impresoras Zebra ZD 230, así como los servicios profesionales para usos múltiples.</t>
  </si>
  <si>
    <t>ORGANIZACION LEVIN DE COLOMBIA S.A.S.</t>
  </si>
  <si>
    <t>MANTENIMINETO Y REPARACIONES TECNOLOGICAS</t>
  </si>
  <si>
    <t>https://community.secop.gov.co/Public/Tendering/ContractNoticePhases/View?PPI=CO1.PPI.37414843&amp;isFromPublicArea=True&amp;isModal=False</t>
  </si>
  <si>
    <t>232-2024</t>
  </si>
  <si>
    <t>Representar en calidad tanto activa como pasiva a LA PREVISORA
S.A. en los procesos judiciales, prejudiciales, de responsabilidad fiscal, procedimientos administrativos, arbitramentos y en general en todo tipo de litigio o procedimiento encomendado, dentro del marco de las actividades relacionadas con la Vicepresidencia Jurídica.</t>
  </si>
  <si>
    <t>POSADA &amp; GUERRA ABOGADOS S.A.S.</t>
  </si>
  <si>
    <t>234-2024</t>
  </si>
  <si>
    <t>Contratar los servicios de una firma especializada en la búsqueda y selección de talento humano, que cuente con reconocimiento y experiencia en la consecución, evaluación, selección y presentación de candidatos altamente calificados que cumplan con los requisitos de las vacantes de nivel directivo de la compañía y realizar los estudios de seguridad de los candidatos.</t>
  </si>
  <si>
    <t>https://community.secop.gov.co/Public/Tendering/ContractNoticePhases/View?PPI=CO1.PPI.37691277&amp;isFromPublicArea=True&amp;isModal=False</t>
  </si>
  <si>
    <t>235-2024</t>
  </si>
  <si>
    <t>Prestar los servicios de asesoría legal estratégica que permita gestionar las relaciones laborales colectivas, con una perspectiva organizacional que tenga en cuenta el talento humano y las líneas estratégicas definidas por esta para lograr sus objetivos, así como los aspectos legales, comunicacionales y reputacionales de la Entidad.</t>
  </si>
  <si>
    <t>SCOLA ABOGADOS S.A.S.</t>
  </si>
  <si>
    <t>https://community.secop.gov.co/Public/Tendering/ContractNoticePhases/View?PPI=CO1.PPI.36079131&amp;isFromPublicArea=True&amp;isModal=False</t>
  </si>
  <si>
    <t>236-2024</t>
  </si>
  <si>
    <t>Representar en calidad tanto activa como pasiva a LA PREVISORA S.A. en los procesos judiciales, prejudiciales, de responsabilidad fiscal, procedimientos administrativos, arbitramentos y en general en todo tipo de litigio o del marco de las actividades relacionadas con la Vicepresidencia Jurídica.</t>
  </si>
  <si>
    <t>SOLUCIONES JURÍDICAS
DE LA BARRERA S.A.S.</t>
  </si>
  <si>
    <t>237-2024</t>
  </si>
  <si>
    <t>Prestar el servicio de soporte y mantenimiento de la herramienta de gestión de identidades denomina Oracle Identity Governance (OIG), que permite realizar los procesos de gestión de identidades, implementada en LA PREVISORA S.A.</t>
  </si>
  <si>
    <t>https://community.secop.gov.co/Public/Tendering/ContractNoticePhases/View?PPI=CO1.PPI.37766742&amp;isFromPublicArea=True&amp;isModal=False</t>
  </si>
  <si>
    <t>238-2024</t>
  </si>
  <si>
    <t>LEXIA ABOGADOS S.A.S.</t>
  </si>
  <si>
    <t>https://community.secop.gov.co/Public/Tendering/ContractNoticePhases/View?PPI=CO1.PPI.36358019&amp;isFromPublicArea=True&amp;isModal=False</t>
  </si>
  <si>
    <t>243-2024</t>
  </si>
  <si>
    <t>Prestación de los servicios de operación y administración del Contact Center a nivel nacional, bajo la modalidad de outsourcing.</t>
  </si>
  <si>
    <t xml:space="preserve">UNIÓN TEMPORAL COMWITEL 2024 </t>
  </si>
  <si>
    <t>CALL CENTER
GASTOS DE SINIESTROS</t>
  </si>
  <si>
    <t>244-2024</t>
  </si>
  <si>
    <t>Prestar el servicio de actualización de software y soporte técnico de los productos ORACLE.</t>
  </si>
  <si>
    <t>https://community.secop.gov.co/Public/Tendering/ContractNoticePhases/View?PPI=CO1.PPI.37768497&amp;isFromPublicArea=True&amp;isModal=False</t>
  </si>
  <si>
    <t>NEWRONA SAS</t>
  </si>
  <si>
    <t>246-2024</t>
  </si>
  <si>
    <t>Efectuar las calificaciones de pérdida de capacidad laboral (en adelante PCL) que afecten las indemnizaciones del amparo de Incapacidad Permanente de los seguros de accidentes personales o del ramo SOAT de las pólizas expedidas por LA PREVISORA S.A.</t>
  </si>
  <si>
    <t>247-2024</t>
  </si>
  <si>
    <t>Prestación de los servicios de planeación estratégica de Marketing 360, Endomarketing, PR, relacionamiento de medios de comunicación y gestión de reputación a nivel nacional.</t>
  </si>
  <si>
    <t>HONORARIOS ADMINISTRATIVO/ELEMENTOS PROMOCIONALES Y PUBLICIDAD Y PROPAGANDA/GASTOS DE MERCADEO</t>
  </si>
  <si>
    <t>https://community.secop.gov.co/Public/Tendering/ContractNoticePhases/View?PPI=CO1.PPI.36069771&amp;isFromPublicArea=True&amp;isModal=False</t>
  </si>
  <si>
    <t>Gerencia de Tecnología De La Información
Subgerencia de Mantenimiento de Sistemas de Información</t>
  </si>
  <si>
    <t>248-2024</t>
  </si>
  <si>
    <t>Prestar el servicio de soporte y mantenimiento de la solución (firma digital estampa y QR) en modalidad Software como Servicio (SaaS).</t>
  </si>
  <si>
    <t>252-2024</t>
  </si>
  <si>
    <t>Desarrollar y poner en funcionamiento el Sistema Unificado de Consulta de Intermediarios de Seguros – SUCIS Gremial.</t>
  </si>
  <si>
    <t>INVERFAS S.A</t>
  </si>
  <si>
    <t>https://community.secop.gov.co/Public/Tendering/ContractNoticePhases/View?PPI=CO1.PPI.36955474&amp;isFromPublicArea=True&amp;isModal=False</t>
  </si>
  <si>
    <t>253-2024</t>
  </si>
  <si>
    <t xml:space="preserve">Prestar el servicio de mantenimiento preventivo requerido para el correcto funcionamiento de los Toboganes de salvamento instalados en la entidad. </t>
  </si>
  <si>
    <t>COMERCIALIZADORA INTERNACIONAL GHANY COLOMBIA SOCIEDAD POR ACCIONES SIMPLIFICADA</t>
  </si>
  <si>
    <t>MANTENIMIENTO Y REPARACIONES ADMINISTRATIVAS</t>
  </si>
  <si>
    <t>https://community.secop.gov.co/Public/Tendering/ContractNoticePhases/View?PPI=CO1.PPI.37062914&amp;isFromPublicArea=True&amp;isModal=False</t>
  </si>
  <si>
    <t>254-2024</t>
  </si>
  <si>
    <t>Prestación de los servicios de mantenimiento preventivo y correctivo de  la solución Adobe Present Central Pro-Output Server y Adobe Present Output Designer.</t>
  </si>
  <si>
    <t>MULTISOFTWARE TRANSACCIONAL SAS</t>
  </si>
  <si>
    <t>255-2024</t>
  </si>
  <si>
    <t>Prestar los servicios especializado de software que permita la automatización digital bajo la modalidad SaaS (Software as a Service), para la gestión integral del proceso de diligenciamiento del formulario de conocimiento del cliente para personas naturales y jurídicas cumpliendo los requisitos establecidos por la SUPERINTENDENCIA FINANCIERA DE COLOMBIA.</t>
  </si>
  <si>
    <t>256-2024</t>
  </si>
  <si>
    <t>Brindar el suministro y activación por suscripción de la membresía a la Asociación Colombiana de Empresas de Tecnología e Innovación Financiera - Colombia Fintech.</t>
  </si>
  <si>
    <t xml:space="preserve">ASOCIACION COLOMBIANA DE EMPRESAS DE TECNOLOGIA E INNOVACION FINANCIERA </t>
  </si>
  <si>
    <t>https://community.secop.gov.co/Public/Tendering/ContractNoticePhases/View?PPI=CO1.PPI.37460118&amp;isFromPublicArea=True&amp;isModal=False</t>
  </si>
  <si>
    <t>Gerencia de Cartera
Gerencia de Desarrollo Comercial
Oficina de cumplimiento y Líneas Financieras
Gerencia Técnica de SOAT</t>
  </si>
  <si>
    <t>257-2024</t>
  </si>
  <si>
    <t xml:space="preserve">Prestar el servicio que le permita administrar el proceso de emisión, custodia y administración de Pagarés desmaterializados, por cuenta propia y/o de terceros, a través del registro de los títulos a través  de la anotación en cuenta, de conformidad con lo regulado en las Leyes. </t>
  </si>
  <si>
    <t>DEPOSITO CENTRALIZADO DE VALORES DE COLOMBIA DECEVAL S.A.</t>
  </si>
  <si>
    <t>https://community.secop.gov.co/Public/Tendering/ContractNoticePhases/View?PPI=CO1.PPI.23092934&amp;isFromPublicArea=True&amp;isModal=False</t>
  </si>
  <si>
    <t>258-2024</t>
  </si>
  <si>
    <t>Contratar la póliza de seguro vida grupo deudor con anexo de incapacidad total y permanente, para los trabajadores y/o extrabajadores a los que LA PREVISORA S.A. COMPAÑÍA DE SEGUROS haya otorgado préstamo hipotecario y actualmente tengan saldo pendiente de este.</t>
  </si>
  <si>
    <t>https://community.secop.gov.co/Public/Tendering/ContractNoticePhases/View?PPI=CO1.PPI.37069373&amp;isFromPublicArea=True&amp;isModal=False</t>
  </si>
  <si>
    <t>259-2024</t>
  </si>
  <si>
    <t>Realizar la custodia, administración y ejercer todas las actividades necesarias para la prestación del servicio de emisión desmaterializada básica de acciones, asumiendo las responsabilidades de los servicios de depósito, emisión, administración de valores, según corresponda.</t>
  </si>
  <si>
    <t>https://community.secop.gov.co/Public/Tendering/ContractNoticePhases/View?PPI=CO1.PPI.37039583&amp;isFromPublicArea=True&amp;isModal=False</t>
  </si>
  <si>
    <t>260-2024</t>
  </si>
  <si>
    <t>Permitir acceso vía web para la consulta de bases de datos de información dispuesta por organismos nacionales e internacionales y obtener información de personas que cuenten con antecedentes delictuales asociados al LA/FT.</t>
  </si>
  <si>
    <t>261-2024</t>
  </si>
  <si>
    <t>Prestar el servicio de suscripción vía web por medio de su producto VLex Colombia Profesional, el cual contiene boletines diarios e información sobre legislación, jurisprudencia, doctrina, códigos, estatutos y regímenes económicos, todo clasificado actualizado sobre las normas, decretos y leyes, con acceso a 15 licencias especiales.</t>
  </si>
  <si>
    <t>COLOMBIA INFORMACIÓN LEGAL S.A.S.</t>
  </si>
  <si>
    <t>262-2024</t>
  </si>
  <si>
    <t>Contratar la póliza de seguro correspondiente al ramo de incendio y terremoto, la cual debe asegurar todo aquel inmueble hipotecado a favor de la Compañía, a nivel nacional.</t>
  </si>
  <si>
    <t>SBS SEGUROS COLOMBIA S. A.</t>
  </si>
  <si>
    <t>263-2024</t>
  </si>
  <si>
    <t>Prestar el servicio para la consulta de las aplicaciones informáticas SISA y CEXPER y envío de información en línea vía internet para la obtención de resultados de siniestralidad de los riesgos consultados.</t>
  </si>
  <si>
    <t>https://community.secop.gov.co/Public/Tendering/ContractNoticePhases/View?PPI=CO1.PPI.37464841&amp;isFromPublicArea=True&amp;isModal=False</t>
  </si>
  <si>
    <t>264-2024</t>
  </si>
  <si>
    <t>Prestar el servicio de actualización de software y soporte técnico en modalidad Enterprise para los productos licenciados de la vertical Database and Data Management de SAP, con que cuenta LA PREVISORA S.A SAP ASE Platform Edition Plataforma Unix/Linux para dieciocho (18) COREs.</t>
  </si>
  <si>
    <t>CONSULTORIA ORGANIZACIONAL S.A.S.</t>
  </si>
  <si>
    <t>https://community.secop.gov.co/Public/Tendering/ContractNoticePhases/View?PPI=CO1.PPI.37032571&amp;isFromPublicArea=True&amp;isModal=False</t>
  </si>
  <si>
    <t>265-2024</t>
  </si>
  <si>
    <t>Prestar el servicio de mantenimiento preventivo y correctivo a las unidades de aire acondicionado de precisión y confort instalados en Bogotá en las oficinas de la Vicepresidencia de Indemnizaciones.</t>
  </si>
  <si>
    <t>https://community.secop.gov.co/Public/Tendering/ContractNoticePhases/View?PPI=CO1.PPI.37063711&amp;isFromPublicArea=True&amp;isModal=False</t>
  </si>
  <si>
    <t>266-2024</t>
  </si>
  <si>
    <t>Contratar la póliza de hospitalización y cirugía de acuerdo con lo dispuesto en la Clausula 64 de la Convención Colectiva de Trabajo vigente, celebrada entre LA PREVISORA S.A. y la organización sindical SINTRAPREVI.</t>
  </si>
  <si>
    <t>ALLIANZ SEGUROS S A</t>
  </si>
  <si>
    <t>https://community.secop.gov.co/Public/Tendering/ContractNoticePhases/View?PPI=CO1.PPI.37070360&amp;isFromPublicArea=True&amp;isModal=False</t>
  </si>
  <si>
    <t>267-2024</t>
  </si>
  <si>
    <t>Prestar el servicio de Investigación y análisis de los casos reportados en la línea ética de LA PREVISORA S.A.</t>
  </si>
  <si>
    <t>https://community.secop.gov.co/Public/Tendering/ContractNoticePhases/View?PPI=CO1.PPI.37770353&amp;isFromPublicArea=True&amp;isModal=False</t>
  </si>
  <si>
    <t>268-2024</t>
  </si>
  <si>
    <t>Prestar los servicios para el desarrollo, implementación, uso, evaluación, entrega de resultados y elaboración de informes de pruebas psicotécnicas aplicadas a candidatos para suplir las vacantes de la planta de personal de LA PREVISORA S.A.</t>
  </si>
  <si>
    <t>THT THE TALENT SYSTEM S.A.S</t>
  </si>
  <si>
    <t>https://community.secop.gov.co/Public/Tendering/ContractNoticePhases/View?PPI=CO1.PPI.37773521&amp;isFromPublicArea=True&amp;isModal=False</t>
  </si>
  <si>
    <t>269-2024</t>
  </si>
  <si>
    <t xml:space="preserve">Contratar la póliza de seguro de vida para los trabajadores de LA PREVISORA S.A. </t>
  </si>
  <si>
    <t>270-2024</t>
  </si>
  <si>
    <t xml:space="preserve">Contratar la póliza de seguro de vida grupo - exequias para los trabajadores de LA PREVISORA S.A. </t>
  </si>
  <si>
    <t>271-2024</t>
  </si>
  <si>
    <t>Prestar el servicio de licenciamiento, mantenimiento y actualización del Software CERTAX.</t>
  </si>
  <si>
    <t xml:space="preserve">CONSULTORES PROFESIONALES ESPECIALIZADOS CONPROES S.A.S. </t>
  </si>
  <si>
    <t>MANTENIMIENTO Y 
REPARACIONES 
TECNOLOGICAS</t>
  </si>
  <si>
    <t>https://community.secop.gov.co/Public/Tendering/ContractNoticePhases/View?PPI=CO1.PPI.37771757&amp;isFromPublicArea=True&amp;isModal=False</t>
  </si>
  <si>
    <t>272-2024</t>
  </si>
  <si>
    <t>Servicios especializados para estabilizar y asegurar la operación del proceso de facturación en medios y formatos electrónicos (emisión y recepción de facturas).</t>
  </si>
  <si>
    <t>https://community.secop.gov.co/Public/Tendering/ContractNoticePhases/View?PPI=CO1.PPI.37791589&amp;isFromPublicArea=True&amp;isModal=False</t>
  </si>
  <si>
    <t>CARLOS HUMBERTO JURADO TORRES</t>
  </si>
  <si>
    <t>Realizar los mantenimientos preventivos cada mes y correctivos cada que se requiera al sistema de aire acondicionado de la sucursal Medellin.</t>
  </si>
  <si>
    <t>Sucursal Tunja</t>
  </si>
  <si>
    <t>AUXILIOS AL PERSONAL</t>
  </si>
  <si>
    <t>Sucursal Armenia</t>
  </si>
  <si>
    <t>Sucursal Yopal</t>
  </si>
  <si>
    <t>MANTENIMIENTO Y
REPARACIONES
ADMINISTRATIVAS</t>
  </si>
  <si>
    <t>GRUPO HEROICA S.A.S</t>
  </si>
  <si>
    <t>Sucursal Pasto</t>
  </si>
  <si>
    <t>ECOCLIMA S. A. S.</t>
  </si>
  <si>
    <t>PINTUDECOR RAFAEL ROJAS S.A.S</t>
  </si>
  <si>
    <t>Sucursal Riohacha</t>
  </si>
  <si>
    <t>ELVIS FERNANDO TOLEDO ESTRELLA</t>
  </si>
  <si>
    <t>REFRIELECTRICOS INGENIERIAS SAS</t>
  </si>
  <si>
    <t>GLORIA MERY CABRERA ALVAREZ</t>
  </si>
  <si>
    <t>HOTELES DE BALATA SAS</t>
  </si>
  <si>
    <t>CORPORACION CLUB COLOMBIA</t>
  </si>
  <si>
    <t>CAPACITACION CLIENTES EXTERNOS Y CONCURSOS INTERMEDIARIOS Y PARTICIP DE AGENCIAS</t>
  </si>
  <si>
    <t>MARCO TULIO GOMEZ GIRALDO S.A.S.</t>
  </si>
  <si>
    <t>JAV SERVICIOS COMERCIALES LTDA</t>
  </si>
  <si>
    <t>KILOTE RESTAURANTE BAR S.A.S.</t>
  </si>
  <si>
    <t>MONTAJES Y MANTENIMIENTOS ELGUIN DORIA S.A.S</t>
  </si>
  <si>
    <t>MISAEL BARBOSA BARBOSA</t>
  </si>
  <si>
    <t>REFRILITORAL CASASBUENAS CORTES &amp; COMPAÑIA SAS</t>
  </si>
  <si>
    <t>SERVICIOS FRIOS DEL CHOCO SERVIFRIC Y CIA LTDA</t>
  </si>
  <si>
    <t>GASTOS DE EMISION DE POLIZAS</t>
  </si>
  <si>
    <t>GASTOS DE EMISION DE
POLIZAS</t>
  </si>
  <si>
    <t>GRUPO AE SAS</t>
  </si>
  <si>
    <t>TANIA MARIA CALDERON SORACA</t>
  </si>
  <si>
    <t>300-2024-0227</t>
  </si>
  <si>
    <t>Entrega en arrendamiento comercial el uso y goce del inmueble ubicado en la ciudad de Mocoa.</t>
  </si>
  <si>
    <t>https://community.secop.gov.co/Public/Tendering/ContractNoticePhases/View?PPI=CO1.PPI.37659465&amp;isFromPublicArea=True&amp;isModal=False</t>
  </si>
  <si>
    <t>CASA METTLER SAS</t>
  </si>
  <si>
    <t>SERVISOLUCIONES Y SUMINISTROS S.A.S.</t>
  </si>
  <si>
    <t>PATIÑO Y CONTRERAS CIA S.A.S</t>
  </si>
  <si>
    <t>INV. ADQUISICIÓN ACTIVOS
FIJOS</t>
  </si>
  <si>
    <t>PROGRAMAS DE BIENESTAR SOCIAL Y RECREACION</t>
  </si>
  <si>
    <t>NATALIA RODRIGUEZ GONZALEZ</t>
  </si>
  <si>
    <t>SARA RESTREPO ANGEL</t>
  </si>
  <si>
    <t>LIDA MARIA MORALES LOZADA</t>
  </si>
  <si>
    <t>CARLOS MANUEL RIVERA DURAN</t>
  </si>
  <si>
    <t>JORGE HERNAN CERON GONZALEZ</t>
  </si>
  <si>
    <t>ROBERTO CARLOS PEREZ MORALES</t>
  </si>
  <si>
    <t>CAJA DE COMPENSACION FAMILIAR DEL CHOCO</t>
  </si>
  <si>
    <t>002-2025</t>
  </si>
  <si>
    <t>003-2025</t>
  </si>
  <si>
    <t>Servicio de mantenimiento preventivo y correctivo a los vehículos de propiedad de LA PREVISORA S.A. y que EL PROVEEDOR esté en capacidad de ofrecer el servicio.</t>
  </si>
  <si>
    <t>PERIAUTOS S.A.S.</t>
  </si>
  <si>
    <t>INFOLAFT S.A.S.</t>
  </si>
  <si>
    <t>Adquirir los servicios especializados de INFOLAFT en el ámbito de SARLAFT (Sistema de Administración de Riesgos para la Prevención del Lavado de Activos y Financiamiento del Terrorismo), con un enfoque específico en el manejo de Listas de Personas Expuestas Políticamente (PEP).</t>
  </si>
  <si>
    <t>https://community.secop.gov.co/Public/Tendering/ContractNoticePhases/View?PPI=CO1.PPI.37065982&amp;isFromPublicArea=True&amp;isModal=False</t>
  </si>
  <si>
    <t>004-2025</t>
  </si>
  <si>
    <t>005-2025</t>
  </si>
  <si>
    <t>El proveedor se compromete con LA PREVISORA S.A., a prestar los servicios de exámenes médicos ocupacionales, post incapacidad, optometría y/o cualquier otro servicio de salud ocupacional que LA PREVISORA S.A. requiera para sus trabajadores.</t>
  </si>
  <si>
    <t>DICLO LTDA</t>
  </si>
  <si>
    <t>SALUD OCUPACIONAL SANITAS</t>
  </si>
  <si>
    <t>006-2025</t>
  </si>
  <si>
    <t>007-2025</t>
  </si>
  <si>
    <t xml:space="preserve">DIANA CAROLINA BARRETO POLANIA </t>
  </si>
  <si>
    <t>008-2025</t>
  </si>
  <si>
    <t>009-2025</t>
  </si>
  <si>
    <t>Prestar los servicios especializados de seguridad informática y SOC Nivel 2 para la protección, monitoreo, detección y contención de las amenazas que se presenten en contra de la infraestructura y los activos tecnológicos que soportan los procesos de LA PREVISORA S.A.</t>
  </si>
  <si>
    <t>Prestar los servicios de apoyo técnico operativo al proceso de indemnizaciones de los ramos SOAT y Accidentes personales.</t>
  </si>
  <si>
    <t>CONSORCIO SOC-2024
(IVAALTECH SAS 901712629-6
2SECURE SAS 900372621-4
SKG TECNOLOGIA SAS 900711074-0)</t>
  </si>
  <si>
    <t>BRANDON MOLINA GALEANO</t>
  </si>
  <si>
    <t>SEGURIDAD INFORMATICA Y ADMINISTRACION DE INFRAESTRUCTURA TECNOLOGICA</t>
  </si>
  <si>
    <t>010-2025</t>
  </si>
  <si>
    <t>011-2025</t>
  </si>
  <si>
    <t>012-2025</t>
  </si>
  <si>
    <t>Realizar los trámites de registro y renovación de propiedad intelectual ante los entes respectivos, así como la asesoría jurídica relacionada con propiedad intelectual.</t>
  </si>
  <si>
    <t>013-2025</t>
  </si>
  <si>
    <t>EDISON ADRIAN URREGO CASTRO</t>
  </si>
  <si>
    <t>GASTOS DE MERCADEO / HONORARIOS ADMINISTRATIVOS</t>
  </si>
  <si>
    <t>014-2025</t>
  </si>
  <si>
    <t>INGRID JULIETH POLANCO RAMOS</t>
  </si>
  <si>
    <t>015-2025</t>
  </si>
  <si>
    <t>LEIDI YOHANA CESPEDES AYALA</t>
  </si>
  <si>
    <t>016-2025</t>
  </si>
  <si>
    <t>017-2025</t>
  </si>
  <si>
    <t>018-2025</t>
  </si>
  <si>
    <t>019-2025</t>
  </si>
  <si>
    <t>JOSE ALEXANDER CHAVEZ BUITRAGO</t>
  </si>
  <si>
    <t>CAMILO ANDRES GONZALEZ GUTIERREZ</t>
  </si>
  <si>
    <t>020-2025</t>
  </si>
  <si>
    <t>021-2025</t>
  </si>
  <si>
    <t>Contratar el programa de seguros de LA PREVISORA S.A. requerido para la adecuada protección de los bienes e intereses patrimoniales asegurables.</t>
  </si>
  <si>
    <t>Realizar la inscripción de los funcionarios que requiera la PREVISORA S.A., para la participación de los funcionarios que designe, en los diferentes cursos, congresos, foros y seminarios que realiza la ASOCIACIÓN BANCARIA Y DE ENTIDADES FINANCIERAS DE COLOMBIA – ASOBANCARIA.</t>
  </si>
  <si>
    <t>ASOCIACIÓN BANCARIA Y DE ENTIDADES FIANCIERAS DE COLOMBIA - ASOBANCARIA</t>
  </si>
  <si>
    <t>CAPACITACION DE PERSONAL Y CONGRESOS, FOROS, SEMINARIOS Y SIMILARES</t>
  </si>
  <si>
    <t>022-2025</t>
  </si>
  <si>
    <t>Prestar el servicio de colaboración tecnológica y operativa para la operación integral de créditos al personal.</t>
  </si>
  <si>
    <t>024-2025</t>
  </si>
  <si>
    <t xml:space="preserve">Prestación de servicios de outsourcing para la administración de impresión y escaneo de los diversos documentos requeridos para todas las sedes. </t>
  </si>
  <si>
    <t>UNIÓN TEMPORAL UT OUTSOURCING PS -IMPRESIÓN
(PEAR SOLUTIONS S.A.S. NIT 900148177-6
COMPU IMPRESIÓN S.A.S. NIT 900235157-1)</t>
  </si>
  <si>
    <t>025-2025</t>
  </si>
  <si>
    <t>029-2025</t>
  </si>
  <si>
    <t>Consultoría para apoyar y acompañar el proceso de contratación del ERP institucional.</t>
  </si>
  <si>
    <t>INGENIUM COLOMBIA S.A.S.</t>
  </si>
  <si>
    <t>Prestar el servicio logístico prestado en los puertos, aeropuertos y en los diversos lugares donde se realice una operación de movilización de carga que permite establecer cantidad, sistema de descargue, despacho, manipulación, análisis de empaques, estado con el objetivo de aplicar medidas preventivas que conlleven a disminuir riesgos de avería.</t>
  </si>
  <si>
    <t>PROFESIONALES EN SERVICIOS PROTUARIOS PROSERPUERTOS LTDA</t>
  </si>
  <si>
    <t>001-2025</t>
  </si>
  <si>
    <t>Gerencia de Inversiones
Gerencia de Riesgos</t>
  </si>
  <si>
    <t xml:space="preserve">PRECIA PROVEEDOR DE PRECIOS PARA VALORACIÓN S.A. </t>
  </si>
  <si>
    <t>Prestación del servicio de suministro de información para la valoración de las inversiones de LA PREVISORA S.A., de acuerdo con las metodologías de valoración realizadas y aplicadas por EL PROVEEDOR, incluyendo las no objetadas por la Superintendencia Financiera de Colombia.</t>
  </si>
  <si>
    <t>023-2025</t>
  </si>
  <si>
    <t>Prestar los servicios de inspección de los bienes asegurables y/o asegurados y/o de administración de riesgos y control de pérdidas de riesgos en curso y/o por suscribir asignados por LA PREVISORA S.A. en las sucursales que LA PREVISORA S.A. disponga.</t>
  </si>
  <si>
    <t>INGENIERIA Y ADMINISTRACION DE RIESGOS IAR LTDA</t>
  </si>
  <si>
    <t>PREVENCION SINIESTROS</t>
  </si>
  <si>
    <t>026-2025</t>
  </si>
  <si>
    <t>027-2025</t>
  </si>
  <si>
    <t>suministrar una plataforma tecnológica que permita a través de los usuarios de acceso la captura de todos y cada uno de los despachos que realicen los clientes asegurados por LA PREVISORA S.A. en los diferentes productos del ramo de transportes.</t>
  </si>
  <si>
    <t>Prestación del servicio de uso y administración de plataforma virtual para pruebas de conocimientos de ingreso a LA PREVISORA S.A., diseño y aplicación de pruebas de conocimiento para los cargos que esta requiera y el alquiler de salones y equipos de cómputo.</t>
  </si>
  <si>
    <t>SELECCION DE PERSONAL</t>
  </si>
  <si>
    <t>028-2025</t>
  </si>
  <si>
    <t>INMERSYS SAS</t>
  </si>
  <si>
    <t>Proveer el software de administración de litigios bajo la modalidad de arrendamiento de licencia mediante un esquema Cloud Computing, para la gestión integral de los Procesos Judiciales, Procedimientos Administrativos, Juicios Fiscales y Recobros de LA PREVISORA S.A.</t>
  </si>
  <si>
    <t>Gerencia de Litigios
Subgerencia de Recobros y Salvamentos  Subgerencia de Planeación y Proyectos de TI</t>
  </si>
  <si>
    <t>ARRENDAMIENTO TECNOLÓGICO / MANTENIMIENTO Y REPARACIONES TECNOLOGICAS</t>
  </si>
  <si>
    <t>030-2025</t>
  </si>
  <si>
    <t>031-2025</t>
  </si>
  <si>
    <t>INGENIERIA DE PROYECTOS INTEGRALES SAS</t>
  </si>
  <si>
    <t>Prestar servicios profesionales de asesoría y acompañamiento legal especializado en el diseño, implementación y ejecución de políticas de protección de datos personales.</t>
  </si>
  <si>
    <t>Servicio de mantenimiento preventivo y correctivo a la planta eléctrica de emergencia marca FG WILSON p425e de propiedad de LA PREVISORA S.A., lo que incluye igualmente el suministro de combustible.</t>
  </si>
  <si>
    <t>032-2025</t>
  </si>
  <si>
    <t>Prestar sus servicios profesionales de manera personal, de apoyo al direccionamiento de procesos asociados al fortalecimiento de una cultura de Sostenibilidad y Responsabilidad Social Empresarial (RSE), mediante la defnición y realización de estrategias y acciones dirigidas a los ejes de Pacto Global de Naciones Unidas: Derechos Humanos, Ambiente, Estándares Laborales y Anticorrupción y la implementación de nuevos estándares que permitan que La Previsora S.A.
sea un referente en estas materias ante la comunidad en general, entre otras actividades que contribuyan al desarrollo sostenible y al cumplimiento de los compromisos del Gobierno Nacional.</t>
  </si>
  <si>
    <t>033-2025</t>
  </si>
  <si>
    <t>034-2025</t>
  </si>
  <si>
    <t>Servicios de mantenimiento preventivo y correctivo del equipo de bombeo en el edificio de Casa Matriz de LA PREVISORA S.A. ubicado en la Calle 57 N° 9-07 en la ciudad de Bogotá D.C.</t>
  </si>
  <si>
    <t>Prestar los servicios de administración de riesgos, control de pérdidas y procedimientos especializados para los diferentes riesgos amparados en negocios nuevos o vigentes del ramo de automóviles.</t>
  </si>
  <si>
    <t>036-2025</t>
  </si>
  <si>
    <t>Implementar la encuesta de valoración del ambiente laboral e intervenciones requeridas en la organización de acuerdo con los resultados y bajo la metodología del Great Place to work.</t>
  </si>
  <si>
    <t>037-2025</t>
  </si>
  <si>
    <t>Prestación de los servicios de mejora, administración y mantenimiento de la página www.saberseguro.com, junto con la plataforma Moodle de cursos virtuales, acorde al Programa de Educación Financiera “Saber Seguro”.</t>
  </si>
  <si>
    <t>SISTEMA DE ADMINISTRACION FINANCIERA - SAC</t>
  </si>
  <si>
    <t>038-2025</t>
  </si>
  <si>
    <t>039-2025</t>
  </si>
  <si>
    <t>POWER QUALITY SOLUTIONS DE COLOMBIA S A</t>
  </si>
  <si>
    <t>LOSS CONTROL &amp; FIRE RISK S A S</t>
  </si>
  <si>
    <t>Prestar el servicio de mantenimiento preventivo, correctivo, soporte técnico, servicio especializado de adecuaciones eléctricas y suministro de baterías y repuestos para los sistemas de corriente ininterrumpida (UPS) marca Mitsubishi de propiedad de LA PREVISORA S.A.</t>
  </si>
  <si>
    <t>040-2025</t>
  </si>
  <si>
    <t>041-2025</t>
  </si>
  <si>
    <t>DELIANA MARÍA VERTEL MORANTE</t>
  </si>
  <si>
    <t>LOSSGROUP CRITERIA LCC SAS</t>
  </si>
  <si>
    <t>Prestar servicios profesionales de manera personal, de generación, análisis, consolidación, preparación y validación de la información relacionada con los formatos de medios magnéticos asignados y exigidos por la DIAN, en cumplimiento de la Resolución N° 000162 de 2023 (modificada por la Resolución N° 000188 de 2024).</t>
  </si>
  <si>
    <t>GASTOS DE EMISION DE POLIZAS
PREVENCION DE SINIESTROS
GASTOS DE EMISION DE POLIZAS
GASTOS DE EMISION DE POLIZAS</t>
  </si>
  <si>
    <t>042-2025</t>
  </si>
  <si>
    <t>043-2025</t>
  </si>
  <si>
    <t>Realizar todas las gestiones para la publicación de avisos de prensa en diarios de amplia circulación nacional, referente a temas como Asambleas Ordinarias y Extraordinarias, publicación de fallecimientos de pensionados o personal activo de la compañía, reclamaciones de acreencias laborales, cierres y aperturas de sucursales, entre otros avisos relacionados con la gestión administrativa de la compañía.</t>
  </si>
  <si>
    <t>044-2025</t>
  </si>
  <si>
    <t>045-2025</t>
  </si>
  <si>
    <t>L &amp; M INGENIEROS CONSULTORES LTDA.</t>
  </si>
  <si>
    <t>EL CONTRATISTA de manera independiente, sin subordinación alguna, utilizando sus propios medios y elementos de trabajo, prestará servicios profesionales de abogado, en el análisis y proyección de las decisiones de segunda instancia de los procesos disciplinarios que se adelanten en LA PREVISORA S.A. y en la emisión de los conceptos que en materia disciplinaria le solicite LA PREVISORA S.A.</t>
  </si>
  <si>
    <t>FERNANDO ÁLVAREZ ROJAS</t>
  </si>
  <si>
    <t xml:space="preserve">GASTOS DE EMISION DE POLIZAS
</t>
  </si>
  <si>
    <t>047-2025</t>
  </si>
  <si>
    <t>048-2025</t>
  </si>
  <si>
    <t>Prestar servicios profesionales para la generación, análisis y consolidación, preparación y validación de la información relacionada con los formatos de medios magnéticos asignados y exigidos por la DIAN, en cumplimiento de la Resolución No 000162 de 2023 (modificada por la Resolución No 000188 de 2024).</t>
  </si>
  <si>
    <t>Prestar el servicio de mantenimiento preventivo y correctivo para las puertas de seguridad y avisos luminosos en el edificio de Casa Matriz y en las diferentes sedes de la compañía ubicadas en la ciudad de Bogotá.</t>
  </si>
  <si>
    <t>049-2025</t>
  </si>
  <si>
    <t>050-2025</t>
  </si>
  <si>
    <t xml:space="preserve">Prestar los servicios de inspección de los bienes asegurables y/o asegurados de administración de riesgos y control de perdidas de riesgos en curso y/o suscribir asignados en las sucursale que Previsora disponga. </t>
  </si>
  <si>
    <t>Prestar sus servicios profesionales de manera personal, de generación, análisis, consolidación, preparación y validación de la información relacionada con los formatos de medios magnéticos asignados y exigidos por la DIAN, en cumplimiento de la Resolución N° 000162 de 2023 (modificada por la Resolución N° 000188 de 2024).</t>
  </si>
  <si>
    <t>PREVENCION SINIESTROS
GASTOS DE EMISION DE
POLIZAS</t>
  </si>
  <si>
    <t>30 OTROS / OUTSOURCING CONTAC CENTER</t>
  </si>
  <si>
    <t>Prestar el servicio de liquidación de nómina y administración de personal de manera integral frente a los funcionarios de planta directa y los pensionados de la Compañía bajo la modalidad de Outsourcing In–House, brindando soporte legal, fiscal, contable, operativo y tecnológico al proceso.</t>
  </si>
  <si>
    <t>Adquisición de la herramienta tecnológica “RMS RiskLink” para la estimación de perdidas o modelos catastróficos en el ramo de terremoto.</t>
  </si>
  <si>
    <t>051-2025</t>
  </si>
  <si>
    <t>Participación de los funcionarios designados por La Previsora en los diferente cursos, congresos, foros y seminarios que realice el Instituto Nacional de Seguros INS.</t>
  </si>
  <si>
    <t>052-2025</t>
  </si>
  <si>
    <t>JOSE A CACERES Y CIA LTDA</t>
  </si>
  <si>
    <t>053-2025</t>
  </si>
  <si>
    <t>Prestar el servicio de análisis dieléctrico, fisicoquímico, cromatográfico de gases, furanos y PCB´s a los transformadores eléctricos y monitoreo en línea para determinar parámetros de calidad de energía de asegurados asignados por LA PREVISORA S.A.</t>
  </si>
  <si>
    <t>054-2025</t>
  </si>
  <si>
    <t>Prestar el servicio de Administración de Riesgos de Responsabilidad Civil Profesional de Clínicas y Hospitales para las instituciones Hospitalarias asignados por la Oficina de Responsabilidad Civil y la Oficina de Prevención de Riesgos</t>
  </si>
  <si>
    <t>GENERAL CLAIMS AND RISK CONSULTING LTDA</t>
  </si>
  <si>
    <t>055-2025</t>
  </si>
  <si>
    <t>Inscripción y participación de un (1) funcionario en el curso Certificación en Fondos de Capital Privado.</t>
  </si>
  <si>
    <t>UNIVERSIDAD EAFIT</t>
  </si>
  <si>
    <t>056-2025</t>
  </si>
  <si>
    <t xml:space="preserve">CARLOS ALFREDO NIÑO PEREZ </t>
  </si>
  <si>
    <t>Servicios profesionales especializados para apoyar y asesorar a la Presidencia, vicepresidencia técnica, vicepresidencia de indemnizaciones y vicepresidencia comercial de la Compañía en los diferentes temas que tienen a cargo.</t>
  </si>
  <si>
    <t>057-2025</t>
  </si>
  <si>
    <t xml:space="preserve">Prestar los servicios de apoyo profesional para la Gerencia de Litigios, con el fin de contribuir al fortalecimiento en la gestión y seguimiento de los Procesos Judiciales, Procedimientos Administrativos y Juicios Fiscales a nivel Nacional. </t>
  </si>
  <si>
    <t>058-2025</t>
  </si>
  <si>
    <t>FEDERACIÓN DE ASEGURADORES COLOMBIANOS FASECOLDA</t>
  </si>
  <si>
    <t>Participación de los funcionarios que designe la Compañía en los diferentes cursos, congresos, foros y seminarios que realiza la FEDERACION DE ASEGURADORES COLOMBIANOS FASECOLDA.</t>
  </si>
  <si>
    <t>059-2025</t>
  </si>
  <si>
    <t>060-2025</t>
  </si>
  <si>
    <t>Suministro de una nevera de 394 litros.</t>
  </si>
  <si>
    <t>SUMICORP LTDA</t>
  </si>
  <si>
    <t>Prestar el servicio de cálculo actuarial de pensiones bajo las normas NIIF y norma local colombiana, realizar el cálculo de beneficios post empleo, diligenciamiento de la proforma respectiva de la SFC.</t>
  </si>
  <si>
    <t>061-2025</t>
  </si>
  <si>
    <t>062-2025</t>
  </si>
  <si>
    <t>Prestar los servicios de apoyo operativo asistencial para la Gerencia de Litigios, con el fin de contribuir al registro de solicitudes de pago, trámite de facturas y completitud de campos de data relacionada con los Procesos Judiciales, Procedimientos Administrativos y Juicios Fiscales a nivel Nacional.</t>
  </si>
  <si>
    <t>BRIGITTE STEPHANNY RODRIGUEZ ABRIL</t>
  </si>
  <si>
    <t xml:space="preserve">Prestar sus servicios personales como entrenador para los equipos de fútbol femenino y masculino de LA PREVISORA S.A., con el fin de lograr una preparación técnica. </t>
  </si>
  <si>
    <t>JUAN ANDRES LOPEZ DEANTONIO</t>
  </si>
  <si>
    <t>064-2025</t>
  </si>
  <si>
    <t>063-2025</t>
  </si>
  <si>
    <t xml:space="preserve">Servicios de apoyo profesional para la Gerencia de Litigios, con el fin de contribuir al fortalecimiento en la gestión y seguimiento de los procesos judiciales, administrativos y juicios fiscales a nivel nacional.  </t>
  </si>
  <si>
    <t>JUAN DAVID BEDOYA SILVA</t>
  </si>
  <si>
    <t>Prestar sus servicios de manera personal, de apoyo técnico para la Gerencia de Litigios, con el fin de contribuir al fortalecimiento en la gestión y seguimiento de los Procesos Judiciales, Procedimientos Administrativos y Juicios Fiscales a nivel Nacional</t>
  </si>
  <si>
    <t>065-2025</t>
  </si>
  <si>
    <t>Prestación de servicios de formación y capacitación para el desarrollo de habilidades en tecnologías de la información, ofimática y analítica de datos, por medio de plataformas de ambientes colaborativos para los funcionarios de la Entidad.</t>
  </si>
  <si>
    <t>EDUCO - EDUCACION Y CONSULTORIA SAS</t>
  </si>
  <si>
    <t>066-2025</t>
  </si>
  <si>
    <t>067-2025</t>
  </si>
  <si>
    <t>CAPACITACION DE PERSONAL
Y CONGRESOS, FOROS,
SEMINARIOS Y SIMILARES
PREMIOS CONCURSOS
INTERNOS
PROGRAMAS DE BIENESTAR
SOCIAL Y RECREACION</t>
  </si>
  <si>
    <t>Desarrollar las actividades programadas en el Plan de Bienestar, proveer para las actividades de capacitación la logística tales como auditorios, ayudas audiovisuales, refrigerios y reconocimiento dirigidas a los funcionarios de la Compañía, así como servicios asociados al Sistema de Gestión de Seguridad y salud en el trabajo.</t>
  </si>
  <si>
    <t>CAJA DE COMPENSACION FAMILIAR COMPENSAR</t>
  </si>
  <si>
    <t>ADRIAN ARTURO MOLERO CHOURIO</t>
  </si>
  <si>
    <t>Prestar sus servicios como entrenador y dirección del equipo de voleibol de LA PREVISORA S.A.</t>
  </si>
  <si>
    <t>035-2025</t>
  </si>
  <si>
    <t>Suscripción al servicio de información jurídica www.contratacionenlinea.co</t>
  </si>
  <si>
    <t>046-2025</t>
  </si>
  <si>
    <t>EL PROVEEDOR se obliga con LA PREVISORA S.A. a trasladar el repetidor de incendio que se encuentra ubicado en el piso 3 del Edificio en la Calle 57 N° 9-07 de Bogotá, en el cual funciona la oficina de la Subgerencia  de Administración de Personal, el cual deberá ser instalado en la central de monitoreo en el primer piso del mismo edificio.</t>
  </si>
  <si>
    <t xml:space="preserve">VALOR INICIAL DEL CONTRATO
SIN IVA
 (en pesos) </t>
  </si>
  <si>
    <t>HONORARIOS
ADMINISTRATIVOS /
INV. ADQUISICIÓN ACTIVOS
SOFTWARE</t>
  </si>
  <si>
    <t>ARRENDAMIENTO TECNOLÓGICO / HONORARIOS ADMINISTRATIVOS</t>
  </si>
  <si>
    <t>ARRENDAMIENTO DE SOFTWARE / MANTENIMIENTO Y REPARACIONES TECNOLOGICAS SOFTWARE</t>
  </si>
  <si>
    <t>ASEO Y CAFETERÍA / GASTOS DE EMISIÓN DE PÓLIZAS / ÚTILES Y PAPELERÍA</t>
  </si>
  <si>
    <t xml:space="preserve">CANALES DE COMUNICACIÓN </t>
  </si>
  <si>
    <t>EQUIPOS DE COMPUTO</t>
  </si>
  <si>
    <t>GASTOS DE ARCHIVO Y MICROFILMACIÓN / GASTOS EMISION DE POLIZAS / OTROS GASTOS DE SINIESTROS</t>
  </si>
  <si>
    <t>INV. ADQUISICIÓN ACTIVOS-HADWARE/MANTENIMIENTO Y REPARACIONES TECNOLOGICAS</t>
  </si>
  <si>
    <t>JUDICIALES, NOTARIALES Y DE REGISTRO</t>
  </si>
  <si>
    <t>MANTENIMIENTO Y REPARACIONES SOFTWARE</t>
  </si>
  <si>
    <t>MESA DE AYUDA</t>
  </si>
  <si>
    <t>OUTSOURCING IMPRESIÓN</t>
  </si>
  <si>
    <t>PREVENCION SINIESTROS
GASTOS DE EMISION DE POLIZAS</t>
  </si>
  <si>
    <t>Suministro de bebidas hidratantes para los visitantes y funcionarios de Casa Matriz, de acuerdo con las condiciones ofertadas dentro de la propuesta presentada, la cual hace parte integral del presente contrato.</t>
  </si>
  <si>
    <t>068-2025</t>
  </si>
  <si>
    <t xml:space="preserve">_Gerencia De Innovación Y Procesos 
_Subgerencia de Mejoramiento de Procesos </t>
  </si>
  <si>
    <t>LA CONTRATISTA se compromete a prestar sus servicios como técnico para la Subgerencia de Mejoramiento de Procesos con el fin apoyar en las diferentes actividades de carácter operativo asociadas a los frentes de trabajo de la Subgerencia como son: Mantenimiento y Mejora del Sistema de Gestión Integral e Intervenciones de Mejoramiento de Procesos.</t>
  </si>
  <si>
    <t>DANIELA FERNANDA SANTA OSPINA</t>
  </si>
  <si>
    <t>069-2025</t>
  </si>
  <si>
    <t>Renovar la suscripción como signataria de la Asociación PRI (Principles for Responsible Investment), de acuerdo con el valor del portafolio gestionable a diciembre de 2024.</t>
  </si>
  <si>
    <t>070-2025</t>
  </si>
  <si>
    <t>Prestar servicios de apoyo profesional para la Gerencia de Litigios, con el fin de contribuir al control y seguimiento para el proceso de pagos realizados desde la gerencia, garantizando la eficiencia en la gestión del grupo de pagos, así como en la ejecución directa del registro de solicitudes y órdenes de pago de honorarios de defensa, sentencias judiciales, fallos y conciliaciones que le sean entregadas en el marco de las gestiones de la Gerencia de Litigios.</t>
  </si>
  <si>
    <t>KAREN ANDREA LARIOS CADENA</t>
  </si>
  <si>
    <t>071-2025</t>
  </si>
  <si>
    <t>072-2025</t>
  </si>
  <si>
    <t>Prestar los servicios profesionales especializados en asesoría legal, en asuntos relativos a derecho laboral colectivo, derecho laboral individual y derecho laboral administrativo.</t>
  </si>
  <si>
    <t>SCOLA ABOGADOS S.A.S</t>
  </si>
  <si>
    <t>DASMARO ABOGADOS S A S</t>
  </si>
  <si>
    <t>073-2025</t>
  </si>
  <si>
    <t>074-2025</t>
  </si>
  <si>
    <t>075-2025</t>
  </si>
  <si>
    <t>FORERO &amp; GONZALEZ ASESORES S.A.S.</t>
  </si>
  <si>
    <t>076-2025</t>
  </si>
  <si>
    <t>077-2025</t>
  </si>
  <si>
    <t>LEON &amp; JAIME ABOGADOS ESPECIALIZADOS S.A.S</t>
  </si>
  <si>
    <t>078-2025</t>
  </si>
  <si>
    <t>079-2025</t>
  </si>
  <si>
    <t>080-2025</t>
  </si>
  <si>
    <t>081-2025</t>
  </si>
  <si>
    <t>ZONA LEGAL ASOCIADOS S.A.S.</t>
  </si>
  <si>
    <t>082-2025</t>
  </si>
  <si>
    <t>RODRÍGUEZ GONZÁLEZ ABOGADOS SAS</t>
  </si>
  <si>
    <t>083-2025</t>
  </si>
  <si>
    <t>084-2025</t>
  </si>
  <si>
    <t>WECH SAS</t>
  </si>
  <si>
    <t>Contratar la inscripción y participación de un (1) funcionario en el curso de preparación CERTIFIED IN RISK AND INFORMATION SYSTEMS CONTROL CRISC.</t>
  </si>
  <si>
    <t>085-2025</t>
  </si>
  <si>
    <t>086-2025</t>
  </si>
  <si>
    <t>SERVICIOS POSTALES NACIONALES S.A.S.</t>
  </si>
  <si>
    <t>Contratar los servicios de actividades, incluido refrigerios, para ciento veinte (120) funcionarios de LA PREVISORA SEGUROS S.A. mediante la
participación de laboratorios (talleres de innovación) y proyecciones en el centro interactivo de MALOKA, con el fin de crear experiencias significativas para contribuir a la apropiación social de la ciencia, la
tecnología y la innovación.</t>
  </si>
  <si>
    <t>CORPORACION MALOKA DE CIENCIA, TECNOLOGIA E INNOVACIÓN.</t>
  </si>
  <si>
    <t>Prestar el servicio de mensajería y/o correo bajo la modalidad de outsourcing para el manejo, recepción, distribución y entrega de la correspondencia física, licitaciones, comunicaciones oficiales enviadas y recibidas en físico, así como su cargue de acuses de recibo en la herramienta digital establecida por la Previsora S.A., entre otros documentos a nivel nacional.</t>
  </si>
  <si>
    <t>087-2025</t>
  </si>
  <si>
    <t>Suministro de productos corporativos con la marca con el logo de LA PREVISORA S.A. y el plan de educación financiera “Saber Seguro”, con el fin de atender las diferentes actividades desarrolladas por el SAC.</t>
  </si>
  <si>
    <t>088-2025</t>
  </si>
  <si>
    <t>Realizar el proceso de formación para fortalecer las competencias comunicativas en escenarios externos e internos a los miembros de Comité Directivo.</t>
  </si>
  <si>
    <t>THE GLOBAL INFLUENCER COLOMBIA S.A.S.</t>
  </si>
  <si>
    <t>089-2025</t>
  </si>
  <si>
    <t>092-2025</t>
  </si>
  <si>
    <t>Prestar los servicios para la implementación y apoyo en la ejecución del Plan de Capacitación, definido para los trabajadores de planta de la Compañía a nivel nacional, cuyo objetivo es fortalecer las capacidades, habilidades, destrezas, conocimientos y competencias, dando lugar al mejoramiento continuo y prácticas innovadoras en todos los procesos.</t>
  </si>
  <si>
    <t>Suministrar el licenciamiento global para el uso de la plataforma eCert que permita la medición de desempeño por objetivos, la evaluación de competencias, el servicio de hosting y la funcionalidad de evaluación de objetivos de compensación.</t>
  </si>
  <si>
    <t>E LEARNING SOLUTIONS LTDA</t>
  </si>
  <si>
    <t>095-2025</t>
  </si>
  <si>
    <t>096-2025</t>
  </si>
  <si>
    <t xml:space="preserve">EDITORIAL CONTEXTO JURIDICO SAS. </t>
  </si>
  <si>
    <t>GIRALDO DUQUE &amp; PARTNERS S.A.S</t>
  </si>
  <si>
    <t>Contratar la suscripción al libro electrónico Estatuto de la Contratación Estatal en Colombia www.contratacionestatal.com en la modalidad de Licencia de Uso. (2 Edición – ISBN 978-958-98685-1-5) a los funcionarios que designe LA PREVISORA S.A.</t>
  </si>
  <si>
    <t>097-2025</t>
  </si>
  <si>
    <t>ELITE A V SERVICES S.A.S.</t>
  </si>
  <si>
    <t>Entregar e instalar un (1) procesador audio Core 110f v2 Q-SYS y dos (2) licencias QSC para el auditorio de Casa Matriz de Bogotá.</t>
  </si>
  <si>
    <t>CONGRESOS, FOROS,
SEMINARIOS Y
SIMILARES</t>
  </si>
  <si>
    <t>TRANSPORTE
URBANO</t>
  </si>
  <si>
    <t>SISTEMA DE
ADMINISTRACION
FINANCIERACOMPRAS</t>
  </si>
  <si>
    <t>CAPACITACION DE
PERSONAL</t>
  </si>
  <si>
    <t>PUBLICACIONES,
SUSCRIPCIONES Y
BIBLIOTECA</t>
  </si>
  <si>
    <t>PORCENTAJE DE EJECUCIÓN FÍSICA 2025</t>
  </si>
  <si>
    <t>https://community.secop.gov.co/Public/Tendering/ContractNoticePhases/View?PPI=CO1.PPI.37589117&amp;isFromPublicArea=True&amp;isModal=False</t>
  </si>
  <si>
    <t>https://community.secop.gov.co/Public/Tendering/ContractNoticePhases/View?PPI=CO1.PPI.37616579&amp;isFromPublicArea=True&amp;isModal=False</t>
  </si>
  <si>
    <t>https://community.secop.gov.co/Public/Tendering/ContractNoticePhases/View?PPI=CO1.PPI.37836350&amp;isFromPublicArea=True&amp;isModal=False</t>
  </si>
  <si>
    <t>https://community.secop.gov.co/Public/Tendering/ContractNoticePhases/View?PPI=CO1.PPI.37798960&amp;isFromPublicArea=True&amp;isModal=False</t>
  </si>
  <si>
    <t>https://community.secop.gov.co/Public/Tendering/ContractNoticePhases/View?PPI=CO1.PPI.37617278&amp;isFromPublicArea=True&amp;isModal=False</t>
  </si>
  <si>
    <t>https://community.secop.gov.co/Public/Tendering/ContractNoticePhases/View?PPI=CO1.PPI.37837085&amp;isFromPublicArea=True&amp;isModal=False</t>
  </si>
  <si>
    <t>https://community.secop.gov.co/Public/Tendering/ContractNoticePhases/View?PPI=CO1.PPI.37619031&amp;isFromPublicArea=True&amp;isModal=False</t>
  </si>
  <si>
    <t>https://community.secop.gov.co/Public/Tendering/ContractNoticePhases/View?PPI=CO1.PPI.37654361&amp;isFromPublicArea=True&amp;isModal=False</t>
  </si>
  <si>
    <t>https://community.secop.gov.co/Public/Tendering/ContractNoticePhases/View?PPI=CO1.PPI.37836392&amp;isFromPublicArea=True&amp;isModal=False</t>
  </si>
  <si>
    <t>https://community.secop.gov.co/Public/Tendering/ContractNoticePhases/View?PPI=CO1.PPI.37794123&amp;isFromPublicArea=True&amp;isModal=False</t>
  </si>
  <si>
    <t>https://community.secop.gov.co/Public/Tendering/ContractNoticePhases/View?PPI=CO1.PPI.37615660&amp;isFromPublicArea=True&amp;isModal=False</t>
  </si>
  <si>
    <t>https://community.secop.gov.co/Public/Tendering/ContractNoticePhases/View?PPI=CO1.PPI.37801112&amp;isFromPublicArea=True&amp;isModal=False</t>
  </si>
  <si>
    <t>https://community.secop.gov.co/Public/Tendering/ContractNoticePhases/View?PPI=CO1.PPI.37788633&amp;isFromPublicArea=True&amp;isModal=False</t>
  </si>
  <si>
    <t>https://community.secop.gov.co/Public/Tendering/ContractNoticePhases/View?PPI=CO1.PPI.38592762&amp;isFromPublicArea=True&amp;isModal=False</t>
  </si>
  <si>
    <t>https://community.secop.gov.co/Public/Tendering/ContractNoticePhases/View?PPI=CO1.PPI.37802127&amp;isFromPublicArea=True&amp;isModal=False</t>
  </si>
  <si>
    <t>https://community.secop.gov.co/Public/Tendering/ContractNoticePhases/View?PPI=CO1.PPI.37800929&amp;isFromPublicArea=True&amp;isModal=False</t>
  </si>
  <si>
    <t>https://community.secop.gov.co/Public/Tendering/ContractNoticePhases/View?PPI=CO1.PPI.37800107&amp;isFromPublicArea=True&amp;isModal=False</t>
  </si>
  <si>
    <t>https://community.secop.gov.co/Public/Tendering/ContractNoticePhases/View?PPI=CO1.PPI.37610891&amp;isFromPublicArea=True&amp;isModal=False</t>
  </si>
  <si>
    <t>https://community.secop.gov.co/Public/Tendering/OpportunityDetail/Index?noticeUID=CO1.NTC.7827163&amp;isFromPublicArea=True&amp;isModal=False</t>
  </si>
  <si>
    <t>https://community.secop.gov.co/Public/Tendering/ContractNoticePhases/View?PPI=CO1.PPI.37614961&amp;isFromPublicArea=True&amp;isModal=False</t>
  </si>
  <si>
    <t>https://community.secop.gov.co/Public/Tendering/ContractNoticePhases/View?PPI=CO1.PPI.38131005&amp;isFromPublicArea=True&amp;isModal=False</t>
  </si>
  <si>
    <t>https://community.secop.gov.co/Public/Tendering/ContractNoticePhases/View?PPI=CO1.PPI.37590826&amp;isFromPublicArea=True&amp;isModal=False</t>
  </si>
  <si>
    <t>https://community.secop.gov.co/Public/Tendering/ContractNoticePhases/View?PPI=CO1.PPI.37802683&amp;isFromPublicArea=True&amp;isModal=False</t>
  </si>
  <si>
    <t>https://community.secop.gov.co/Public/Tendering/ContractNoticePhases/View?PPI=CO1.PPI.38498440&amp;isFromPublicArea=True&amp;isModal=False</t>
  </si>
  <si>
    <t>https://community.secop.gov.co/Public/Tendering/ContractNoticePhases/View?PPI=CO1.PPI.37803169&amp;isFromPublicArea=True&amp;isModal=False</t>
  </si>
  <si>
    <t>https://community.secop.gov.co/Public/Tendering/ContractNoticePhases/View?PPI=CO1.PPI.38616842&amp;isFromPublicArea=True&amp;isModal=False</t>
  </si>
  <si>
    <t>https://community.secop.gov.co/Public/Tendering/ContractNoticePhases/View?</t>
  </si>
  <si>
    <t>https://www.secop.gov.co/CO1BusinessLine/Tendering/ProcedureEdit/View?ProfileName=CCE-11-Procedimiento_Publicidad&amp;PPI=CO1.PPI.38840990&amp;DocUniqueName=Consulta&amp;DocTypeName=NextWay.Entities.Marketplace.Tendering.ProcedureRequest&amp;ProfileVersion=12&amp;DocUniqueIdentifier=CO1.REQ.8116454&amp;prevCtxUrl=https%3a%2f%2fwww.secop.gov.co%2fCO1BusinessLine%2fTendering%2fBuyerWorkArea%2fIndex%3fDocUniqueIdentifier%3dCO1.BDOS.7975761&amp;prevCtxLbl=&amp;Messages=Publicado%20|Success</t>
  </si>
  <si>
    <t>https://community.secop.gov.co/Public/Tendering/ContractNoticePhases/View?PPI=CO1.PPI.38126728&amp;isFromPublicArea=True&amp;isModal=False</t>
  </si>
  <si>
    <t>https://community.secop.gov.co/Public/Tendering/ContractNoticePhases/View?PPI=CO1.PPI.37821188&amp;isFromPublicArea=True&amp;isModal=False</t>
  </si>
  <si>
    <t>https://community.secop.gov.co/Public/Tendering/ContractNoticePhases/View?PPI=CO1.PPI.38321344&amp;isFromPublicArea=True&amp;isModal=False</t>
  </si>
  <si>
    <t>LINK SECOP I, II 
(SEGÚN APLIQUE)</t>
  </si>
  <si>
    <t>https://community.secop.gov.co/Public/Tendering/ContractNoticePhases/View?PPI=CO1.PPI.38618304&amp;isFromPublicArea=True&amp;isModal=False</t>
  </si>
  <si>
    <t>https://community.secop.gov.co/Public/Tendering/ContractNoticePhases/View?PPI=CO1.PPI.38810449&amp;isFromPublicArea=True&amp;isModal=False</t>
  </si>
  <si>
    <t>https://community.secop.gov.co/Public/Tendering/ContractNoticePhases/View?PPI=CO1.PPI.38441787&amp;isFromPublicArea=True&amp;isModal=False</t>
  </si>
  <si>
    <t>https://community.secop.gov.co/Public/Tendering/ContractNoticePhases/View?PPI=CO1.PPI.38422705&amp;isFromPublicArea=True&amp;isModal=False</t>
  </si>
  <si>
    <t>https://community.secop.gov.co/Public/Tendering/ContractNoticePhases/View?PPI=CO1.PPI.38464180&amp;isFromPublicArea=True&amp;isModal=False</t>
  </si>
  <si>
    <t>https://www.secop.gov.co/CO1BusinessLine/Tendering/ProcedureEdit/View?ProfileName=CCE-11-Procedimiento_Publicidad&amp;PPI=CO1.PPI.38919026&amp;DocUniqueName=Consulta&amp;DocTypeName=NextWay.Entities.Marketplace.Tendering.ProcedureRequest&amp;ProfileVersion=12&amp;DocUniqueIdentifier=CO1.REQ.8134638&amp;prevCtxUrl=https%3a%2f%2fwww.secop.gov.co%2fCO1BusinessLine%2fTendering%2fBuyerWorkArea%2fIndex%3fDocUniqueIdentifier%3dCO1.BDOS.7993709&amp;prevCtxLbl=&amp;Messages=Publicado%20|Success</t>
  </si>
  <si>
    <t>https://community.secop.gov.co/Public/Tendering/ContractNoticePhases/View?PPI=CO1.PPI.38336746&amp;isFromPublicArea=True&amp;isModal=False</t>
  </si>
  <si>
    <t>https://www.secop.gov.co/CO1BusinessLine/Tendering/ProcedureEdit/View?ProfileName=CCE-11-Procedimiento_Publicidad&amp;PPI=CO1.PPI.38842331&amp;DocUniqueName=Consulta&amp;DocTypeName=NextWay.Entities.Marketplace.Tendering.ProcedureRequest&amp;ProfileVersion=12&amp;DocUniqueIdentifier=CO1.REQ.8116938&amp;prevCtxUrl=https%3a%2f%2fwww.secop.gov.co%2fCO1BusinessLine%2fTendering%2fBuyerWorkArea%2fIndex%3fDocUniqueIdentifier%3dCO1.BDOS.7976415&amp;prevCtxLbl=&amp;Messages=Publicado%20|Success</t>
  </si>
  <si>
    <t>https://community.secop.gov.co/Public/Tendering/ContractNoticePhases/View?PPI=CO1.PPI.38892557&amp;isFromPublicArea=True&amp;isModal=False</t>
  </si>
  <si>
    <t>https://community.secop.gov.co/Public/Tendering/ContractNoticePhases/View?PPI=CO1.PPI.38916923&amp;isFromPublicArea=True&amp;isModal=False</t>
  </si>
  <si>
    <t>https://community.secop.gov.co/Public/Tendering/ContractNoticePhases/View?PPI=CO1.PPI.38467027&amp;isFromPublicArea=True&amp;isModal=False</t>
  </si>
  <si>
    <t>https://community.secop.gov.co/Public/Tendering/ContractNoticePhases/View?PPI=CO1.PPI.39401632&amp;isFromPublicArea=True&amp;isModal=False</t>
  </si>
  <si>
    <t>https://community.secop.gov.co/Public/Tendering/ContractNoticePhases/View?PPI=CO1.PPI.38811126&amp;isFromPublicArea=True&amp;isModal=False</t>
  </si>
  <si>
    <t>https://community.secop.gov.co/Public/Tendering/ContractNoticePhases/View?PPI=CO1.PPI.38893412&amp;isFromPublicArea=True&amp;isModal=False</t>
  </si>
  <si>
    <t xml:space="preserve">EL PROVEEDOR se obliga con LA PREVISORA S.A. a: 1. Otorgar el uso de la herramienta tecnológica de su propiedad denominada "Auda Claims Gold" con el fin que la PREVISORA pueda utilizar la misma para realizar todo el proceso de gestión de la atención integrar a los siniestros derivados de las pólizas del ramo de automóviles que se expida. 2. A prestar los servicios de mesa de repuestos. 3 Brindar la asesoría técnica requerida para el manejo de la herramienta.  </t>
  </si>
  <si>
    <t>126-2025</t>
  </si>
  <si>
    <t>090-2025</t>
  </si>
  <si>
    <t>091-2025</t>
  </si>
  <si>
    <t>127-2025</t>
  </si>
  <si>
    <t>093-2025</t>
  </si>
  <si>
    <t>118-2025</t>
  </si>
  <si>
    <t>133-2025</t>
  </si>
  <si>
    <t>130-2025</t>
  </si>
  <si>
    <t>102-2025</t>
  </si>
  <si>
    <t>119-2025</t>
  </si>
  <si>
    <t>129-2025</t>
  </si>
  <si>
    <t>122-2025</t>
  </si>
  <si>
    <t>124-2025</t>
  </si>
  <si>
    <t>135-2025</t>
  </si>
  <si>
    <t>103-2025</t>
  </si>
  <si>
    <t>104-2025</t>
  </si>
  <si>
    <t>101-2025</t>
  </si>
  <si>
    <t>094-2025</t>
  </si>
  <si>
    <t>099-2025</t>
  </si>
  <si>
    <t>117-2025</t>
  </si>
  <si>
    <t>114-2025</t>
  </si>
  <si>
    <t>110-2025</t>
  </si>
  <si>
    <t>116-2025</t>
  </si>
  <si>
    <t>136-2025</t>
  </si>
  <si>
    <t>128-2025</t>
  </si>
  <si>
    <t>131-2025</t>
  </si>
  <si>
    <t>134-2025</t>
  </si>
  <si>
    <t>109-2025</t>
  </si>
  <si>
    <t>111-2025</t>
  </si>
  <si>
    <t>112-2025</t>
  </si>
  <si>
    <t>113-2025</t>
  </si>
  <si>
    <t>098-2025</t>
  </si>
  <si>
    <t>100-2025</t>
  </si>
  <si>
    <t>108-2025</t>
  </si>
  <si>
    <t>107-2025</t>
  </si>
  <si>
    <t>132-2025</t>
  </si>
  <si>
    <t>138-2025</t>
  </si>
  <si>
    <t>Prestación de servicios de infraestructura, licenciamiento de software,  suscripción y administración para la implementación de un modelo de centralización de datos que incorpore componentes tecnológicos de ingesta, almacenamiento, mantenimiento, procesamiento, calidad, servicios de gobierno y analítica, junto con los servicios profesionales, metodológicos y técnicos necesarios para el desarrollo e implementación del proyecto de ingesta y centralización.</t>
  </si>
  <si>
    <t>UNIÓN TEMPORAL DATA ANALYTIC</t>
  </si>
  <si>
    <t>Prestación de servicios de agencia de viajes para el suministro de tiquetes aéreos nacionales e internacionales, alojamiento, desplazamientos terrestres.</t>
  </si>
  <si>
    <t>VIVA CONSOLIDADORA TURISTICA S.A.S.</t>
  </si>
  <si>
    <t>DETECCION SEGURIDAD PRIVADA LIMITADA</t>
  </si>
  <si>
    <t xml:space="preserve">Prestar sus servicios, de manera autónoma e independiente, para realizar una consultoría que derive en la construcción del Portafolio Modelo (Benchmark) y Portafolios Tácticos, a luz de los estándares internacionales recomendados por CFA Institute, IOSCO y SEC, considerando la oferta de valor y perfil de riesgo reflejada en los reglamentos. </t>
  </si>
  <si>
    <t>ELEMENTO ALPHA SAS</t>
  </si>
  <si>
    <t>Realizar y entregar el informe de la encuesta de Calidad del servicio de las compañías de seguros durante el 2024.</t>
  </si>
  <si>
    <t>DIGIDATA DE COLOMBIA LTDA</t>
  </si>
  <si>
    <t>Prestar los servicios de asesoría, diseño y desarrollo de contenidos conceptuales o teóricos, en cumplimiento de los criterios del sello de Educación Financiera.</t>
  </si>
  <si>
    <t>Prestar el servicio de mantenimiento técnico preventivo una (1) vez al mes para los dos (2) ascensores ubicados en el edificio de Casa Matriz.</t>
  </si>
  <si>
    <t>OTIS ELEVATOR COMPANY COLOMBIA S.A.S.</t>
  </si>
  <si>
    <t>Desarrollar ejercicios de gamificación y comunicación con contenidos en tercera dimensión 3D, realidad aumentada y/o web extendida, lo que incluye el suministro y acceso a la plataforma tecnológica.</t>
  </si>
  <si>
    <t>Suministrar los refrigerios y brindar apoyo logístico para las actividades asociadas a los procesos de capacitación y/o formación y bienestar que adelante la Subgerencia de Desarrollo de Talento Humano.</t>
  </si>
  <si>
    <t>BODEGA Y COCINA SAS</t>
  </si>
  <si>
    <t>Prestar los servicios de guía y apoyo metodológico de cara al diseño, cronograma, ejecución y premiación del ejercicio de innovación interna 2025 de LA PREVISORA, con la correspondiente identificación y definición de retos enmarcados en el Plan Estratégico de la compañía.</t>
  </si>
  <si>
    <t>FUNDACION CENTRO DE EXCELENCIA EN SISTEMAS DE INNOVACION</t>
  </si>
  <si>
    <t>Prestar el servicio de apoyo en la recolección, análisis, organización, procesamiento, generación y presentación de informes de datos sobre el proceso de indemnizaciones de los ramos SOAT, VIDA y ACCIDENTES PERSONALES para la toma de decisiones estratégicas.</t>
  </si>
  <si>
    <t>CARLOS MARIO MORENO GAMARRA</t>
  </si>
  <si>
    <t>Prestar los servicios de apoyo técnico operativo al proceso de indemnizaciones de los ramos Soat y Accidentes personales.</t>
  </si>
  <si>
    <t xml:space="preserve">WILMER ESTEBAN REUTO ROMERO </t>
  </si>
  <si>
    <t xml:space="preserve">PAULA SOFIA DIAZ DIAZ </t>
  </si>
  <si>
    <t>ALVAREZ &amp; HERNANDEZ ABOGADOS SAS</t>
  </si>
  <si>
    <t>LASPRILLA &amp; CRUZ ABOGADOS ASOCIADOS S.A.S.</t>
  </si>
  <si>
    <t>OLFA MARIA PEREZ ORELLANOS E HIJOS ABOGADOS S.A.S</t>
  </si>
  <si>
    <t>OSPINA ZAMORA &amp; ASOCIADOS SAS</t>
  </si>
  <si>
    <t>prestar los servicios de apoyo técnico operativo al proceso de indemnizaciones de los ramos Soat y Accidentes personales.</t>
  </si>
  <si>
    <t xml:space="preserve">NEIRLY ZULIETH AVENDAÑO MOSQUERA </t>
  </si>
  <si>
    <t>Prestar los servicios jurídicos especializados para la administración en calidad de Counterparty Manager de la información de La Previsora S.A. Compañía de Seguros en la plataforma Markit de ISDA (International Swaps and Derivatives Association INC).</t>
  </si>
  <si>
    <t>JHON ALEJANDRO GOMEZ FERNANDEZ</t>
  </si>
  <si>
    <t xml:space="preserve">Prestar sus servicios profesionales de asesoría especializada y acompañamiento técnico para la interpretación, implementación, difusión y seguimiento a los lineamientos del Código de Ética,
Transparencia, Conducta y Buen Gobierno. </t>
  </si>
  <si>
    <t>NATALIA BARBOSA GALVIS</t>
  </si>
  <si>
    <t>GÓMEZ VELEZ 
ABOGADOS S.A.S.</t>
  </si>
  <si>
    <t>MPP ABOGADOS S.A.S</t>
  </si>
  <si>
    <t>MARTINEZ VILLALBA GOMEZ ABOGADOS S.A.S.</t>
  </si>
  <si>
    <t>VALDES ABOGADOS - ASLABOR LIMITADA</t>
  </si>
  <si>
    <t>Prestar los servicios profesionales de asesor de la Junta Directiva de La Previsora S.A. en los asuntos jurídicos relacionados con el modelo de gobernanza de la entidad y otros asuntos que puedan surgir en el curso de las sesiones de dicho órgano de administración.</t>
  </si>
  <si>
    <t>SEBASTIAN ECHEVERRI ÁLVAREZ</t>
  </si>
  <si>
    <t>JAVIER ANDRÉS PEÑA MARQUEZ</t>
  </si>
  <si>
    <t>Prestar los servicios de vigilancia y seguridad privada, protección con medio humano con armas y sin armas, equipos de comunicación y de seguridad con medios tecnológicos en las instalaciones de LA PREVISORA S.A. a nivel nacional.</t>
  </si>
  <si>
    <t xml:space="preserve">Prestar sus servicios profesionales de manera personal, para el desarrollo de las actividades de diseño estratégico, comunicación institucional y creatividad aplicada con base en el enfoque de diseño denominado Human Centered Design, así como el apoyo al área de Secretaría General en la construcción de estrategias y la gestión del cambio en la comunicación de nuestro Buen Gobierno Corporativo en la Compañía y con nuestras partes interesadas. </t>
  </si>
  <si>
    <t>CAPACITACION CLIENTES
EXTERNOS Y CONCURSOS
INTERMEDIARIOS Y PARTICIP
DE AGENCIAS</t>
  </si>
  <si>
    <t>VIGILANCIA</t>
  </si>
  <si>
    <t>_CAPACITACION DE PERSONAL
Y CONGRESOS, FOROS,
SEMINARIOS Y SIMILARES
_PROGRAMAS DE BIENESTAR
SOCIAL Y RECREACION</t>
  </si>
  <si>
    <t>Prestar sus servicios profesionales de manera personal, para el apoyo en la identificación, medición, monitoreo, control, mitigación y reporte de las exposiciones a todos los riesgos de la entidad asociados a Solvencia II, así como aquellos asociados al sistema integral del Administración del Riesgo (SIAR).</t>
  </si>
  <si>
    <t>https://community.secop.gov.co/Public/Tendering/ContractNoticePhases/View?PPI=CO1.PPI.38145173&amp;isFromPublicArea=True&amp;isModal=False</t>
  </si>
  <si>
    <t>https://community.secop.gov.co/Public/Tendering/ContractNoticePhases/View?PPI=CO1.PPI.37645866&amp;isFromPublicArea=True&amp;isModal=False</t>
  </si>
  <si>
    <t>https://community.secop.gov.co/Public/Tendering/OpportunityDetail/Index?noticeUID=CO1.NTC.7682404&amp;isFromPublicArea=True&amp;isModal=False</t>
  </si>
  <si>
    <t>https://community.secop.gov.co/Public/Tendering/OpportunityDetail/Index?noticeUID=CO1.NTC.7679592&amp;isFromPublicArea=True&amp;isModal=False</t>
  </si>
  <si>
    <t>https://community.secop.gov.co/Public/Tendering/OpportunityDetail/Index?noticeUID=CO1.NTC.7827492&amp;isFromPublicArea=True&amp;isModal=False</t>
  </si>
  <si>
    <t>https://community.secop.gov.co/Public/Tendering/OpportunityDetail/Index?noticeUID=CO1.NTC.7828515&amp;isFromPublicArea=True&amp;isModal=False</t>
  </si>
  <si>
    <t>https://community.secop.gov.co/Public/Tendering/OpportunityDetail/Index?noticeUID=CO1.NTC.7836028&amp;isFromPublicArea=True&amp;isModal=False</t>
  </si>
  <si>
    <t>https://community.secop.gov.co/Public/Tendering/OpportunityDetail/Index?noticeUID=CO1.NTC.7830369&amp;isFromPublicArea=True&amp;isModal=False</t>
  </si>
  <si>
    <t>https://community.secop.gov.co/Public/Tendering/ContractNoticePhases/View?PPI=CO1.PPI.39293577&amp;isFromPublicArea=True&amp;isModal=False</t>
  </si>
  <si>
    <t>https://community.secop.gov.co/Public/Tendering/ContractNoticePhases/View?PPI=CO1.PPI.39185123&amp;isFromPublicArea=True&amp;isModal=False</t>
  </si>
  <si>
    <t>https://community.secop.gov.co/Public/Tendering/OpportunityDetail/Index?noticeUID=CO1.NTC.8219486&amp;isFromPublicArea=True&amp;isModal=False</t>
  </si>
  <si>
    <t>https://community.secop.gov.co/Public/Tendering/OpportunityDetail/Index?noticeUID=CO1.NTC.8219975&amp;isFromPublicArea=True&amp;isModal=False</t>
  </si>
  <si>
    <t>https://community.secop.gov.co/Public/Tendering/OpportunityDetail/Index?noticeUID=CO1.NTC.8220728&amp;isFromPublicArea=True&amp;isModal=False</t>
  </si>
  <si>
    <t>https://community.secop.gov.co/Public/Tendering/OpportunityDetail/Index?noticeUID=CO1.NTC.8219934&amp;isFromPublicArea=True&amp;isModal=False</t>
  </si>
  <si>
    <t>https://community.secop.gov.co/Public/Tendering/OpportunityDetail/Index?noticeUID=CO1.NTC.8158613&amp;isFromPublicArea=True&amp;isModal=False</t>
  </si>
  <si>
    <t>https://community.secop.gov.co/Public/Tendering/ContractNoticePhases/View?PPI=CO1.PPI.39313975&amp;isFromPublicArea=True&amp;isModal=False</t>
  </si>
  <si>
    <t>https://community.secop.gov.co/Public/Tendering/OpportunityDetail/Index?noticeUID=CO1.NTC.8156815&amp;isFromPublicArea=True&amp;isModal=False</t>
  </si>
  <si>
    <t>https://community.secop.gov.co/Public/Tendering/ContractNoticePhases/View?PPI=CO1.PPI.39403048&amp;isFromPublicArea=True&amp;isModal=False</t>
  </si>
  <si>
    <t>https://community.secop.gov.co/Public/Tendering/OpportunityDetail/Index?noticeUID=CO1.NTC.8221511&amp;isFromPublicArea=True&amp;isModal=False</t>
  </si>
  <si>
    <t>https://community.secop.gov.co/Public/Tendering/OpportunityDetail/Index?noticeUID=CO1.NTC.8221489&amp;isFromPublicArea=True&amp;isModal=False</t>
  </si>
  <si>
    <t>https://community.secop.gov.co/Public/Tendering/OpportunityDetail/Index?noticeUID=CO1.NTC.8222024&amp;isFromPublicArea=True&amp;isModal=False</t>
  </si>
  <si>
    <t>105-2025</t>
  </si>
  <si>
    <t>106-2025</t>
  </si>
  <si>
    <t>MARGARITA SAAVEDRA MC CAUSLAND &amp; ABOGADOS S.A.S</t>
  </si>
  <si>
    <t>SANCLEMENTE JURIDICO S.A.S</t>
  </si>
  <si>
    <t>115-2025</t>
  </si>
  <si>
    <t xml:space="preserve"> Entregar cincuenta (50) TELÉFONOS NEC ITY-8LCGX-1 BK IP, junto con la instalación, programación y puesta en operación de los equipos que
se requieran en la sucursal de Medellín, Antioquia.</t>
  </si>
  <si>
    <t>120-2025</t>
  </si>
  <si>
    <t>Servicio de Software informativo financiero sobre noticias y datos macroeconómicos locales e internacionales que integra base de datos, noticias, gráficos, calculadoras, e-mail, chat, información multimedia y herramientas de negociación electrónica.</t>
  </si>
  <si>
    <t>121-2025</t>
  </si>
  <si>
    <t xml:space="preserve">Prestar sus servicios profesionales de manera personal, de apoyo a la Gerencia Contable y Tributaria en el levantamiento y construcción de instructivos operativos de los procesos técnico, financiero, de apoyo e impuestos. </t>
  </si>
  <si>
    <t>LEIDY PAOLA 
CARREÑO TAPIAS</t>
  </si>
  <si>
    <t>123-2025</t>
  </si>
  <si>
    <t>Suministrar la suscripción de licenciamiento Microsoft sobre 100 licencias 6VC-02567 - Win Remote Desktop Services CAL ALng Sub Per User</t>
  </si>
  <si>
    <t>125-2025</t>
  </si>
  <si>
    <t>VALENTINA HERRERA FONSECA</t>
  </si>
  <si>
    <t>137-2025</t>
  </si>
  <si>
    <t>Prestar los servicios especializados en análisis e interpretación de NIIF con enfoque en seguros.</t>
  </si>
  <si>
    <t>PWC CONTADORES Y AUDITORES SAS</t>
  </si>
  <si>
    <t>139-2025</t>
  </si>
  <si>
    <t>140-2025</t>
  </si>
  <si>
    <t xml:space="preserve">Mantenimientos preventivos y correctivos al sistema de alarma y detección de incendios. </t>
  </si>
  <si>
    <t>Prestar los servicios de emisión de tiquetes aéreos y reservas hoteleras (habitaciones y salas de reunión) en destinos nacionales e internacionales.</t>
  </si>
  <si>
    <t>MAYATUR S A S</t>
  </si>
  <si>
    <t>GASTOS DE VIAJE</t>
  </si>
  <si>
    <t>141-2025</t>
  </si>
  <si>
    <t>Prestar sus servicios como entrenador y director de los equipos de baloncesto femenino y masculino de LA PREVISORA S.A.</t>
  </si>
  <si>
    <t>WILLIAM OLIVERIO AVELLA CAMACHO</t>
  </si>
  <si>
    <t>142-2025</t>
  </si>
  <si>
    <t>143-2025</t>
  </si>
  <si>
    <t>Suministrar el servicio transaccional para la comercialización y recaudo del ramo de accidentes personales en la plataforma digital, con la integración al sistema CORE de LA PREVISORA S.A. y cumpliendo con los parámetros exigidos por la Compañía.</t>
  </si>
  <si>
    <t>Compra de tres hornos microondas industriales de 0.8 pies.</t>
  </si>
  <si>
    <t>PROGRAMAS DE BIENESTAR
SOCIAL Y RECREACION</t>
  </si>
  <si>
    <t>144-2025</t>
  </si>
  <si>
    <t>Contratar la inscripción y participación de tres (3) funcionarios en el
Seminario Taller Virtual “Entendiendo e Implementando las Normas Globales de Auditoría Interna”.</t>
  </si>
  <si>
    <t>145-2025</t>
  </si>
  <si>
    <t>Suministrar el licenciamiento requerido para el funcionamiento y/u optimización del software Rocketbot que permita realizar las automatizaciones existentes y/o aquellas a desarrollar de
acuerdo con las necesidades de LA PREVISORA S.A., lo que incluye igualmente la prestación del servicio de soporte y mantenimiento a través de una bolsa de horas (Hr Cross).</t>
  </si>
  <si>
    <t>ARRENDAMIENTO /
TECNOLÓGICO
MANTENIMIENTO Y
REPARACIONES
TECNOLOGICAS</t>
  </si>
  <si>
    <t>146-2025</t>
  </si>
  <si>
    <t>147-2025</t>
  </si>
  <si>
    <t xml:space="preserve">Realizar Auditoría de renovación al Sistema de Gestión Integral (Sistema de Gestión de la Calidad ISO 9001:2015 y Sistema Gestión Ambiental ISO 14001:2015) y realizar Auditoría de seguimiento al Sello de Buenas Prácticas de Innovación </t>
  </si>
  <si>
    <t>Ejecutar las actividades de auditoria para el otorgamiento del Sello de Sostenibilidad.</t>
  </si>
  <si>
    <t>148-2025</t>
  </si>
  <si>
    <t>Prestar el servicio especializado de investigación de bienes y activos a nivel nacional, mediante la consulta, análisis, y verificación detallada de los bienes registrados por cédula o NIT de personas naturales o jurídicas.</t>
  </si>
  <si>
    <t>COBROACTIVO S.A.S</t>
  </si>
  <si>
    <t>149-2025</t>
  </si>
  <si>
    <t>150-2025</t>
  </si>
  <si>
    <t>Suministrar bajo arrendamiento una plataforma tecnológica bajo nube pública o privada mediante la modalidad de soluciones PAAS o IPAAS que permita el desarrollo e implementación de la capa de integración e interoperabilidad requerida para el funcionamiento articulado de los sistemas de información y aplicaciones actuales y futuros de LA PREVISORA S.A.</t>
  </si>
  <si>
    <t>OSP INTERNATIONAL CALA S.A.S.</t>
  </si>
  <si>
    <t>Compra de maletines y maletas de cabina para participar publicitariamente con elementos marca promocional de previsora, brindando reconocimiento en actividades comerciales con nuestros grupos de interés de la compañía.</t>
  </si>
  <si>
    <t>SAMSONITE COLOMBIA S A S</t>
  </si>
  <si>
    <t>ELEMENTOS
PROMOCIONALES Y
PUBLICIDAD Y PROPAGANDA</t>
  </si>
  <si>
    <t>151-2025</t>
  </si>
  <si>
    <t>Prestar los servicios profesionales especializados para apoyar y asesorar a la Secretaría General en los diferentes temas que tiene a cargo, en asuntos administrativos, jurídicos, planeación, control, seguimiento, desarrollo empresarial y de estrategias.</t>
  </si>
  <si>
    <t>CAMILO ANDRES ARENAS VALDIVIESO</t>
  </si>
  <si>
    <t>153-2025</t>
  </si>
  <si>
    <t>156-2025</t>
  </si>
  <si>
    <t>Contratar una póliza de Vida Grupo que asegure a los funcionarios directivos vinculados mediante contrato de trabajo a término Indefinido. Jefe de Control Interno y Presidente de La Previsora S.A. Compañía de Seguros.</t>
  </si>
  <si>
    <t>COMPAÑIA DE SEGUROS COLSANITAS S.A</t>
  </si>
  <si>
    <t>STP ABOGADOS PROFESIONALES ASOCIADOS S.A.S</t>
  </si>
  <si>
    <t>INV. INTANGIBLES DIFERIDOS
/ OTROS</t>
  </si>
  <si>
    <t>https://community.secop.gov.co/Public/Tendering/ContractNoticePhases/View?PPI=CO1.PPI.38496056&amp;isFromPublicArea=True&amp;isModal=False</t>
  </si>
  <si>
    <t>https://community.secop.gov.co/Public/Tendering/ContractNoticePhases/View?PPI=CO1.PPI.38409863&amp;isFromPublicArea=True&amp;isModal=False</t>
  </si>
  <si>
    <t>https://community.secop.gov.co/Public/Tendering/OpportunityDetail/Index?noticeUID=CO1.NTC.7775001&amp;isFromPublicArea=True&amp;isModal=False</t>
  </si>
  <si>
    <t>https://community.secop.gov.co/Public/Tendering/ContractNoticePhases/View?PPI=CO1.PPI.38433687&amp;isFromPublicArea=True&amp;isModal=False</t>
  </si>
  <si>
    <t>https://community.secop.gov.co/Public/Tendering/ContractNoticePhases/View?PPI=CO1.PPI.38419850&amp;isFromPublicArea=True&amp;isModal=False</t>
  </si>
  <si>
    <t xml:space="preserve">https://community.secop.gov.co/Public/Tendering/ContractNoticePhases/View?PPI=CO1.PPI.39266890&amp;isFromPublicArea=True&amp;isModal=False </t>
  </si>
  <si>
    <t xml:space="preserve">https://community.secop.gov.co/Public/Tendering/ContractNoticePhases/View?PPI=CO1.PPI.39321676&amp;isFromPublicArea=True&amp;isModal=False </t>
  </si>
  <si>
    <t>https://community.secop.gov.co/Public/Tendering/ContractNoticePhases/View?PPI=CO1.PPI.39330033&amp;isFromPublicArea=True&amp;isModal=False</t>
  </si>
  <si>
    <t>https://community.secop.gov.co/Public/Tendering/ContractNoticePhases/View?PPI=CO1.PPI.40359860&amp;isFromPublicArea=True&amp;isModal=False</t>
  </si>
  <si>
    <t>https://community.secop.gov.co/Public/Tendering/ContractNoticePhases/View?PPI=CO1.PPI.40620654&amp;isFromPublicArea=True&amp;isModal=False</t>
  </si>
  <si>
    <t>https://community.secop.gov.co/Public/Tendering/ContractNoticePhases/View?PPI=CO1.PPI.39778208&amp;isFromPublicArea=True&amp;isModal=False</t>
  </si>
  <si>
    <t>https://community.secop.gov.co/Public/Tendering/ContractNoticePhases/View?PPI=CO1.PPI.40360192&amp;isFromPublicArea=True&amp;isModal=False</t>
  </si>
  <si>
    <t>https://community.secop.gov.co/Public/Tendering/ContractNoticePhases/View?PPI=CO1.PPI.40375458&amp;isFromPublicArea=True&amp;isModal=False</t>
  </si>
  <si>
    <t>https://community.secop.gov.co/Public/Tendering/ContractNoticePhases/View?PPI=CO1.PPI.40361682&amp;isFromPublicArea=True&amp;isModal=False</t>
  </si>
  <si>
    <t>https://community.secop.gov.co/Public/Tendering/ContractNoticePhases/View?PPI=CO1.PPI.40657329&amp;isFromPublicArea=True&amp;isModal=False</t>
  </si>
  <si>
    <t>https://community.secop.gov.co/Public/Tendering/ContractNoticePhases/View?PPI=CO1.PPI.39781055&amp;isFromPublicArea=True&amp;isModal=False</t>
  </si>
  <si>
    <t>https://community.secop.gov.co/Public/Tendering/ContractNoticePhases/View?PPI=CO1.PPI.40624142&amp;isFromPublicArea=True&amp;isModal=False</t>
  </si>
  <si>
    <t>https://community.secop.gov.co/Public/Tendering/OpportunityDetail/Index?noticeUID=CO1.NTC.8222144&amp;isFromPublicArea=True&amp;isModal=False</t>
  </si>
  <si>
    <t>https://community.secop.gov.co/Public/Tendering/OpportunityDetail/Index?noticeUID=CO1.NTC.8222340&amp;isFromPublicArea=True&amp;isModal=False</t>
  </si>
  <si>
    <t>https://community.secop.gov.co/Public/Tendering/ContractNoticePhases/View?PPI=CO1.PPI.40362860&amp;isFromPublicArea=True&amp;isModal=False</t>
  </si>
  <si>
    <t>https://community.secop.gov.co/Public/Tendering/ContractNoticePhases/View?PPI=CO1.PPI.40653986&amp;isFromPublicArea=True&amp;isModal=False</t>
  </si>
  <si>
    <t>https://community.secop.gov.co/Public/Tendering/ContractNoticePhases/View?PPI=CO1.PPI.39781500&amp;isFromPublicArea=True&amp;isModal=False</t>
  </si>
  <si>
    <t>https://community.secop.gov.co/Public/Tendering/ContractNoticePhases/View?PPI=CO1.PPI.40622585&amp;isFromPublicArea=True&amp;isModal=False</t>
  </si>
  <si>
    <t>https://community.secop.gov.co/Public/Tendering/ContractNoticePhases/View?PPI=CO1.PPI.40625516&amp;isFromPublicArea=True&amp;isModal=False</t>
  </si>
  <si>
    <t>https://community.secop.gov.co/Public/Tendering/ContractNoticePhases/View?PPI=CO1.PPI.39775873&amp;isFromPublicArea=True&amp;isModal=False</t>
  </si>
  <si>
    <t>https://community.secop.gov.co/Public/Tendering/ContractNoticePhases/View?PPI=CO1.PPI.40379724&amp;isFromPublicArea=True&amp;isModal=False</t>
  </si>
  <si>
    <t>https://community.secop.gov.co/Public/Tendering/ContractNoticePhases/View?PPI=CO1.PPI.40123158&amp;isFromPublicArea=True&amp;isModal=False</t>
  </si>
  <si>
    <t>https://community.secop.gov.co/Public/Tendering/ContractNoticePhases/View?PPI=CO1.PPI.40616869&amp;isFromPublicArea=True&amp;isModal=False</t>
  </si>
  <si>
    <t>https://community.secop.gov.co/Public/Tendering/ContractNoticePhases/View?PPI=CO1.PPI.40381096&amp;isFromPublicArea=True&amp;isModal=False</t>
  </si>
  <si>
    <t>https://community.secop.gov.co/Public/Tendering/ContractNoticePhases/View?PPI=CO1.PPI.40380572&amp;isFromPublicArea=True&amp;isModal=False</t>
  </si>
  <si>
    <t>https://community.secop.gov.co/Public/Tendering/ContractNoticePhases/View?PPI=CO1.PPI.39782145&amp;isFromPublicArea=True&amp;isModal=False</t>
  </si>
  <si>
    <t>https://community.secop.gov.co/Public/Tendering/ContractNoticePhases/View?PPI=CO1.PPI.40376018&amp;isFromPublicArea=True&amp;isModal=False</t>
  </si>
  <si>
    <t>https://community.secop.gov.co/Public/Tendering/ContractNoticePhases/View?PPI=CO1.PPI.40388419&amp;isFromPublicArea=True&amp;isModal=False</t>
  </si>
  <si>
    <t>https://community.secop.gov.co/Public/Tendering/ContractNoticePhases/View?PPI=CO1.PPI.40127249&amp;isFromPublicArea=True&amp;isModal=False</t>
  </si>
  <si>
    <t>https://community.secop.gov.co/Public/Tendering/ContractNoticePhases/View?PPI=CO1.PPI.40708998&amp;isFromPublicArea=True&amp;isModal=False</t>
  </si>
  <si>
    <t>https://community.secop.gov.co/Public/Tendering/ContractNoticePhases/View?PPI=CO1.PPI.40710145&amp;isFromPublicArea=True&amp;isModal=False</t>
  </si>
  <si>
    <t>159-2025</t>
  </si>
  <si>
    <t>Realizar el mantenimiento a las máquinas de café FETCO de propiedad de La Previsora S.A. ubicadas en la calle 57 No. 9-07 en la ciudad de Bogotá</t>
  </si>
  <si>
    <t>INDUSTRIAL TAYLOR S.A.S.</t>
  </si>
  <si>
    <t>162-2025</t>
  </si>
  <si>
    <t>LEGIS EDITORES S.A.</t>
  </si>
  <si>
    <t>152-2025</t>
  </si>
  <si>
    <t>154-2025</t>
  </si>
  <si>
    <t>Prestar los servicios profesionales como Defensor del Consumidor Financiero, principal y suplente, de La Previsora S.A. Compañía de Seguros.</t>
  </si>
  <si>
    <t>CONSULTORIAS EN INNOVACIÓN FINANCIERA SAS</t>
  </si>
  <si>
    <t>155-2025</t>
  </si>
  <si>
    <t>Prestar sus servicios para diseñar, estructurar, desarrollar e implementar un programa, bajo la modalidad virtual, que contribuya al desarrollo y mejoramiento de las competencias de los intermediarios de seguros vinculados a LA PREVISORA S.A.</t>
  </si>
  <si>
    <t>157-2025</t>
  </si>
  <si>
    <t>158-2025</t>
  </si>
  <si>
    <t>Prestar los servicios de arrendamiento de infraestructura para el uso y funcionamiento del aplicativo PORFIN, lo que incluye el servicio de soporte y mantenimiento de este y los desarrollos requeridos.</t>
  </si>
  <si>
    <t>SISTEMAS GESTION Y CONSULTORIA ALFA GL S A S</t>
  </si>
  <si>
    <t>ARRENDAMIENTO
TECNOLÓGICO
/MANTENIMIENTO Y
REPARACIONES
TECNOLOGICAS</t>
  </si>
  <si>
    <t>160-2025</t>
  </si>
  <si>
    <t>161-2025</t>
  </si>
  <si>
    <t>Prestar los servicios profesionales para la renovación de LEI (por sus siglas en inglés, "LEGAL ENTITY IDENTIFIER") de LA PREVISORA.</t>
  </si>
  <si>
    <t>G. HERRERA &amp; ASOCIADOS ABOGADOS S.A.S.</t>
  </si>
  <si>
    <t xml:space="preserve">Servicio de suscripción digital de la revista CONSTRUDATA, que incluye el licenciamiento de TRES (03) accesos anuales para consulta técnica y académica de las oficinas de Indemnizaciones. </t>
  </si>
  <si>
    <t>173-2025</t>
  </si>
  <si>
    <t xml:space="preserve">Prestar sus servicios de manera personal, para el desarrollo de las actividades de identificación, análisis, evaluación, monitoreo, control y reporte de los riesgos financieros a los que está expuesta la entidad, incluyendo riesgos de mercado, crédito, liquidez y riesgo operacional, así como apoyar en la implementación y seguimiento de políticas, metodologías y herramientas de gestión de riesgos, en cumplimiento del marco normativo vigente y las mejores prácticas del sector asegurador. </t>
  </si>
  <si>
    <t>CESAR AUGUSTO VERGARA GARCIA</t>
  </si>
  <si>
    <t>163-2025</t>
  </si>
  <si>
    <t xml:space="preserve">Prestar el servicio de soporte, integración y mantenimiento de los micrositios y aplicativos integrados en el portal web, formulario de Autos, Formulario IPS y el Portal externo de Bancamía, incluyendo los mantenimientos evolutivos. </t>
  </si>
  <si>
    <t>164-2025</t>
  </si>
  <si>
    <t>165-2025</t>
  </si>
  <si>
    <t xml:space="preserve">Actualizar las matrices de identificación de peligros, evaluación y valoración de los riesgos laborales,  el plan de emergencias, análisis de vulnerabilidad y los planos de evacuación en las diferentes sedes de La Previsora.  </t>
  </si>
  <si>
    <t>CONSULTORES INTEGRALES ESPECIALIZADOS EN SALUD, AMBIENTE Y CALIDAD S.A.S.</t>
  </si>
  <si>
    <t>Realizar la auditoria de seguimiento a la Certificación de sello de no discriminación y certificación de empresa familiarmente responsable-EFR.</t>
  </si>
  <si>
    <t>166-2025</t>
  </si>
  <si>
    <t>HERNANDEZ &amp; DELGADO ABOGADOS ASOCIADOS S.A.S</t>
  </si>
  <si>
    <t>167-2025</t>
  </si>
  <si>
    <t>Prestar servicios profesionales de apoyo a la gestión técnica de la Gerencia técnica de Indemnizaciones SOAT, VIDA Y AP con el fin de realizar el cargue de documentos, hacer revisión de proceso de recepción de reclamaciones, objeciones, análisis y validación de todas las novedades presentadas en el servicio web.</t>
  </si>
  <si>
    <t>SANDRA LILIANA BECERRA BOLIVAR</t>
  </si>
  <si>
    <t>169-2025</t>
  </si>
  <si>
    <t>170-2025</t>
  </si>
  <si>
    <t>Prestar los servicios para gestionar la emisión, modificación y reembolsos de tiquetes aéreos y reservas hoteleras (habitaciones y salas de reunión), así como la prestación de los servicios logísticos necesarios para garantizar los desplazamientos y estadías en destinos nacionales e internacionales, en su calidad de agencia de viajes.</t>
  </si>
  <si>
    <t>PUBBLICA S.A.S.</t>
  </si>
  <si>
    <t>Apoyar la gestión técnica operativa del proceso de indemnizaciones de los ramos SOAT, VIDA y ACCIDENTES PERSONALES.</t>
  </si>
  <si>
    <t>ARGENIS PEREZ RODRIGUEZ</t>
  </si>
  <si>
    <t>CAPACITACION DE PERSONAL
Y CONGRESOS, FOROS,
SEMINARIOS Y SIMILARES
ENTIDADES VINCULADAS A LA
COMPAÑÍA
/GASTOS DE VIAJE
_VIATICOS</t>
  </si>
  <si>
    <t>171-2025</t>
  </si>
  <si>
    <t>172-2025</t>
  </si>
  <si>
    <t xml:space="preserve">Suministrar y distribuir continuamente de herramientas, materiales de construcción, materiales eléctricos, materiales de ferretería y los demás elementos necesarios en las cantidades y especificaciones que le sean requeridas por LA PREVISORA. </t>
  </si>
  <si>
    <t xml:space="preserve">BRAND CENTER S.A.S. </t>
  </si>
  <si>
    <t>CYE GROUP SAS</t>
  </si>
  <si>
    <t>ELEMENTOS VARIOS
FUNGIBLES</t>
  </si>
  <si>
    <t>175-2025</t>
  </si>
  <si>
    <t>Realizar la impermeabilización integral del tanque de reserva de agua ubicado en el edificio Casa Matriz, incluyendo el suministro de los materiales e instalación de un tanque auxiliar.</t>
  </si>
  <si>
    <t>ACUERDO MARCO</t>
  </si>
  <si>
    <t>Suministro de ACPM para la planta eléctrica y GASOLINA para los vehículos de la compañía</t>
  </si>
  <si>
    <t>GRUPO EDS AUTOGAS S.A.S.</t>
  </si>
  <si>
    <t>https://www.contratos.gov.co/consultas/detalleProceso.do?numConstancia=19-4-10231444&amp;g-recaptcha-response=03AFcWeA6G59btstmtE_i0X7VA5m5wu9_wyzljXBsw6jPScUrt-ssAqNJqTQnOER4LJqmEHTzhYGajctAdAEgDoa8MtBKlUv1AQ7RW-7_gcpNngZjqiyJwr1FSAcZzoElcAu0OV2XOe_fkPvYee4NobgduEpvuRr-LJs_IH8uJgw1LeW7Tq2SE_SMGitL4RkCruBdhvRFfsNFpUQOk9-NuGM5EUlGuV6dKqcpHH7gsaObqmZTI7iF4MtWy91UEzQS4kNTFGjfo2S0hf1502jWCowH0oB1ndbbd6MwcHajOpJog3Kk_VgU5ECP_SOIjo6mJ18bf7AjEGzn7_dnpOJvaYByLAgwxZIKQdsoejMjGrI8troDgD-rVDu5mdBqBehqlHdEA-pY3CnW1iFywp0qrre3IrcfL8MetlPZgyzcqW24ZkhlMMp7dt0sr0yx7_oibR7e9qbxIGF8wrADoo1NqCvUEEbJQ5SHKdqV7QlFpGEDO67QdurpgEk1YqQ9usDKvSNCyN54QWaUfuRgSVCAPtsohLfYXwZiPUDASIAjdG1opacWtpzT65QILqGPx5lBCFRTvn6Bo5rzgIDvALbR6JOFiFtSG-C8A8_XfJRO9WiEXbDWWkLdu3XY</t>
  </si>
  <si>
    <t>https://www.secop.gov.co/CO1BusinessLine/Tendering/ProcedureEdit/View?docUniqueIdentifier=CO1.REQ.2148925&amp;prevCtxUrl=https%3a%2f%2fwww.secop.gov.co%2fCO1BusinessLine%2fTendering%2fBuyerDossierWorkspace%2fIndex%3freference%3d030-2021%26createDateFrom%3d01%2f08%2f2020+07%3a49%3a00%26createDateTo%3d01%2f02%2f2024+19%3a49%3a00%26filteringState%3d0%26sortingState%3dLastModifiedDESC%26showAdvancedSearch%3dTrue%26showAdvancedSearchFields%3dFalse%26advSrchFolderCode%3dALL%26selectedDossier%3dCO1.BDOS.2089695%26selectedRequest%3dCO1.REQ.2148925%26&amp;prevCtxLbl=Procesos+de+la+Entidad+Estatal</t>
  </si>
  <si>
    <t>https://www.secop.gov.co/CO1BusinessLine/Tendering/ProcedureEdit/View?docUniqueIdentifier=CO1.REQ.2545516&amp;prevCtxUrl=https%3a%2f%2fwww.secop.gov.co%2fCO1BusinessLine%2fTendering%2fBuyerDossierWorkspace%2fIndex%3freference%3d060-2021%26createDateFrom%3d01%2f08%2f2021+07%3a55%3a00%26createDateTo%3d01%2f02%2f2024+19%3a55%3a00%26filteringState%3d0%26sortingState%3dLastModifiedDESC%26showAdvancedSearch%3dTrue%26showAdvancedSearchFields%3dFalse%26advSrchFolderCode%3dALL%26selectedDossier%3dCO1.BDOS.2466480%26selectedRequest%3dCO1.REQ.2545516%26&amp;prevCtxLbl=Procesos+de+la+Entidad+Estatal</t>
  </si>
  <si>
    <t>https://community.secop.gov.co/Public/Tendering/ContractNoticePhases/View?PPI=CO1.PPI.41150763&amp;isFromPublicArea=True&amp;isModal=False</t>
  </si>
  <si>
    <t>https://community.secop.gov.co/Public/Tendering/ContractNoticePhases/View?PPI=CO1.PPI.41149456&amp;isFromPublicArea=True&amp;isModal=False</t>
  </si>
  <si>
    <t>https://community.secop.gov.co/Public/Tendering/ContractNoticePhases/View?PPI=CO1.PPI.41313699&amp;isFromPublicArea=True&amp;isModal=False</t>
  </si>
  <si>
    <t>https://community.secop.gov.co/Public/Tendering/ContractNoticePhases/View?PPI=CO1.PPI.41277797&amp;isFromPublicArea=True&amp;isModal=False</t>
  </si>
  <si>
    <t>https://community.secop.gov.co/Public/Tendering/ContractNoticePhases/View?PPI=CO1.PPI.41277431&amp;isFromPublicArea=True&amp;isModal=False</t>
  </si>
  <si>
    <t>https://community.secop.gov.co/Public/Tendering/ContractNoticePhases/View?PPI=CO1.PPI.41220480&amp;isFromPublicArea=True&amp;isModal=False</t>
  </si>
  <si>
    <t>https://community.secop.gov.co/Public/Tendering/ContractNoticePhases/View?PPI=CO1.PPI.41265271&amp;isFromPublicArea=True&amp;isModal=False</t>
  </si>
  <si>
    <t>https://community.secop.gov.co/Public/Tendering/ContractNoticePhases/View?PPI=CO1.PPI.41279221&amp;isFromPublicArea=True&amp;isModal=False</t>
  </si>
  <si>
    <t>https://community.secop.gov.co/Public/Tendering/ContractNoticePhases/View?PPI=CO1.PPI.41313694&amp;isFromPublicArea=True&amp;isModal=False</t>
  </si>
  <si>
    <t>https://community.secop.gov.co/Public/Tendering/ContractNoticePhases/View?PPI=CO1.PPI.41278536&amp;isFromPublicArea=True&amp;isModal=False</t>
  </si>
  <si>
    <t>https://community.secop.gov.co/Public/Tendering/ContractNoticePhases/View?PPI=CO1.PPI.41314692&amp;isFromPublicArea=True&amp;isModal=False</t>
  </si>
  <si>
    <t>https://community.secop.gov.co/Public/Tendering/ContractNoticePhases/View?PPI=CO1.PPI.41328957&amp;isFromPublicArea=True&amp;isModal=False</t>
  </si>
  <si>
    <t>https://community.secop.gov.co/Public/Tendering/ContractNoticePhases/View?PPI=CO1.PPI.41328932&amp;isFromPublicArea=True&amp;isModal=False</t>
  </si>
  <si>
    <t>https://community.secop.gov.co/Public/Tendering/ContractNoticePhases/View?PPI=CO1.PPI.41328989&amp;isFromPublicArea=True&amp;isModal=False</t>
  </si>
  <si>
    <t>https://community.secop.gov.co/Public/Tendering/ContractNoticePhases/View?PPI=CO1.PPI.41314497&amp;isFromPublicArea=True&amp;isModal=False</t>
  </si>
  <si>
    <t>https://www.secop.gov.co/CO1BusinessLine/Tendering/ProcedureEdit/View?docUniqueIdentifier=CO1.REQ.8615447&amp;prevCtxLbl=Proceso&amp;prevCtxUrl=https%3a%2f%2fwww.secop.gov.co%3a443%2fCO1BusinessLine%2fTendering%2fBuyerWorkArea%2fIndex%3fDocUniqueIdentifier%3dCO1.BDOS.8462292</t>
  </si>
  <si>
    <t>https://community.secop.gov.co/Public/Tendering/ContractNoticePhases/View?PPI=CO1.PPI.41313962&amp;isFromPublicArea=True&amp;isModal=False</t>
  </si>
  <si>
    <t>https://community.secop.gov.co/Public/Tendering/ContractNoticePhases/View?PPI=CO1.PPI.41315049&amp;isFromPublicArea=True&amp;isModal=False</t>
  </si>
  <si>
    <t>https://community.secop.gov.co/Public/Tendering/ContractNoticePhases/View?PPI=CO1.PPI.41329726&amp;isFromPublicArea=True&amp;isModal=False</t>
  </si>
  <si>
    <t>Prestar los servicios de mantenimiento y soporte de la plataforma del sistema de presupuesto y planeación financiera DATA CIPRES, así como a la migración ETL a Data cripres V5.0.</t>
  </si>
  <si>
    <t>https://community.secop.gov.co/Public/Tendering/ContractNoticePhases/View?PPI=CO1.PPI.41275243&amp;isFromPublicArea=True&amp;isModal=False</t>
  </si>
  <si>
    <t>https://community.secop.gov.co/Public/Tendering/ContractNoticePhases/View?PPI=CO1.PPI.39423722&amp;isFromPublicArea=True&amp;isModal=False</t>
  </si>
  <si>
    <t>https://community.secop.gov.co/Public/Tendering/ContractNoticePhases/View?PPI=CO1.PPI.41278636&amp;isFromPublicArea=True&amp;isModal=False</t>
  </si>
  <si>
    <t>https://community.secop.gov.co/Public/Tendering/ContractNoticePhases/View?PPI=CO1.PPI.41278630&amp;isFromPublicArea=True&amp;isModal=False</t>
  </si>
  <si>
    <t>https://community.secop.gov.co/Public/Tendering/ContractNoticePhases/View?PPI=CO1.PPI.41278064&amp;isFromPublicArea=True&amp;isModal=False</t>
  </si>
  <si>
    <t>https://community.secop.gov.co/Public/Tendering/ContractNoticePhases/View?PPI=CO1.PPI.39391862&amp;isFromPublicArea=True&amp;isModal=False</t>
  </si>
  <si>
    <t>https://community.secop.gov.co/Public/Tendering/ContractNoticePhases/View?PPI=CO1.PPI.38172997&amp;isFromPublicArea=True&amp;isModal=False</t>
  </si>
  <si>
    <t>https://community.secop.gov.co/Public/Tendering/ContractNoticePhases/View?PPI=CO1.PPI.39421715&amp;isFromPublicArea=True&amp;isModal=False</t>
  </si>
  <si>
    <t>https://community.secop.gov.co/Public/Tendering/ContractNoticePhases/View?PPI=CO1.PPI.41276265&amp;isFromPublicArea=True&amp;isModal=False</t>
  </si>
  <si>
    <t>https://community.secop.gov.co/Public/Tendering/ContractNoticePhases/View?PPI=CO1.PPI.41151148&amp;isFromPublicArea=True&amp;isModal=False</t>
  </si>
  <si>
    <t>https://community.secop.gov.co/Public/Tendering/ContractNoticePhases/View?PPI=CO1.PPI.39392810&amp;isFromPublicArea=True&amp;isModal=False</t>
  </si>
  <si>
    <t>https://community.secop.gov.co/Public/Tendering/ContractNoticePhases/View?PPI=CO1.PPI.39402353&amp;isFromPublicArea=True&amp;isModal=False</t>
  </si>
  <si>
    <t>https://community.secop.gov.co/Public/Tendering/ContractNoticePhases/View?PPI=CO1.PPI.41152216&amp;isFromPublicArea=True&amp;isModal=False</t>
  </si>
  <si>
    <t>https://community.secop.gov.co/Public/Tendering/ContractNoticePhases/View?PPI=CO1.PPI.41277171&amp;isFromPublicArea=True&amp;isModal=False</t>
  </si>
  <si>
    <t>https://community.secop.gov.co/Public/Tendering/ContractNoticePhases/View?PPI=CO1.PPI.41276253&amp;isFromPublicArea=True&amp;isModal=False</t>
  </si>
  <si>
    <t>https://community.secop.gov.co/Public/Tendering/ContractNoticePhases/View?PPI=CO1.PPI.41219786&amp;isFromPublicArea=True&amp;isModal=False</t>
  </si>
  <si>
    <t>https://community.secop.gov.co/Public/Tendering/ContractNoticePhases/View?PPI=CO1.PPI.41314110&amp;isFromPublicArea=True&amp;isModal=False</t>
  </si>
  <si>
    <t>https://community.secop.gov.co/Public/Tendering/ContractNoticePhases/View?PPI=CO1.PPI.41278521&amp;isFromPublicArea=True&amp;isModal=False</t>
  </si>
  <si>
    <t>https://community.secop.gov.co/Public/Tendering/ContractNoticePhases/View?PPI=CO1.PPI.41277484&amp;isFromPublicArea=True&amp;isModal=False</t>
  </si>
  <si>
    <t>https://community.secop.gov.co/Public/Tendering/ContractNoticePhases/View?PPI=CO1.PPI.41276350&amp;isFromPublicArea=True&amp;isModal=False</t>
  </si>
  <si>
    <t>https://community.secop.gov.co/Public/Tendering/ContractNoticePhases/View?PPI=CO1.PPI.41278748&amp;isFromPublicArea=True&amp;isModal=False</t>
  </si>
  <si>
    <t>https://community.secop.gov.co/Public/Tendering/ContractNoticePhases/View?PPI=CO1.PPI.41279028&amp;isFromPublicArea=True&amp;isModal=False</t>
  </si>
  <si>
    <t>https://community.secop.gov.co/Public/Tendering/ContractNoticePhases/View?PPI=CO1.PPI.40840006&amp;isFromPublicArea=True&amp;isModal=False</t>
  </si>
  <si>
    <t>https://community.secop.gov.co/Public/Tendering/ContractNoticePhases/View?PPI=CO1.PPI.41313941&amp;isFromPublicArea=True&amp;isModal=False</t>
  </si>
  <si>
    <t>https://community.secop.gov.co/Public/Tendering/ContractNoticePhases/View?PPI=CO1.PPI.40834856&amp;isFromPublicArea=True&amp;isModal=False</t>
  </si>
  <si>
    <t>https://community.secop.gov.co/Public/Tendering/ContractNoticePhases/View?PPI=CO1.PPI.40840590&amp;isFromPublicArea=True&amp;isModal=False</t>
  </si>
  <si>
    <t>https://community.secop.gov.co/Public/Tendering/ContractNoticePhases/View?PPI=CO1.PPI.41278872&amp;isFromPublicArea=True&amp;isModal=False</t>
  </si>
  <si>
    <t>https://community.secop.gov.co/Public/Tendering/ContractNoticePhases/View?PPI=CO1.PPI.40870214&amp;isFromPublicArea=True&amp;isModal=False</t>
  </si>
  <si>
    <t>https://community.secop.gov.co/Public/Tendering/ContractNoticePhases/View?PPI=CO1.PPI.40842923&amp;isFromPublicArea=True&amp;isModal=False</t>
  </si>
  <si>
    <t>https://community.secop.gov.co/Public/Tendering/ContractNoticePhases/View?PPI=CO1.PPI.41314403&amp;isFromPublicArea=True&amp;isModal=False</t>
  </si>
  <si>
    <t>https://community.secop.gov.co/Public/Tendering/ContractNoticePhases/View?PPI=CO1.PPI.41313981&amp;isFromPublicArea=True&amp;isModal=False</t>
  </si>
  <si>
    <t>https://community.secop.gov.co/Public/Tendering/OpportunityDetail/Index?noticeUID=CO1.NTC.8695544&amp;isFromPublicArea=True&amp;isModal=False</t>
  </si>
  <si>
    <t>https://community.secop.gov.co/Public/Tendering/ContractNoticePhases/View?PPI=CO1.PPI.41229277&amp;isFromPublicArea=True&amp;isModal=False</t>
  </si>
  <si>
    <t>https://community.secop.gov.co/Public/Tendering/ContractNoticePhases/View?PPI=CO1.PPI.39265606&amp;isFromPublicArea=True&amp;isModal=False</t>
  </si>
  <si>
    <t>https://community.secop.gov.co/Public/Tendering/ContractNoticePhases/View?PPI=CO1.PPI.41314861&amp;isFromPublicArea=True&amp;isModal=False</t>
  </si>
  <si>
    <t>179-2025</t>
  </si>
  <si>
    <t>184-2025</t>
  </si>
  <si>
    <t>191-2025</t>
  </si>
  <si>
    <t>182-2025</t>
  </si>
  <si>
    <t>190-2025</t>
  </si>
  <si>
    <t>189-2025</t>
  </si>
  <si>
    <t>195-2025</t>
  </si>
  <si>
    <t>Prestar los servicios de apoyo profesional para la Gerencia de Litigios, con el fin de contribuir al fortalecimiento en la gestión y seguimiento de los Procesos Judiciales, Procedimientos Administrativos y Procesos de Responsabilidad Fiscal a nivel Nacional, que le sean asignados.</t>
  </si>
  <si>
    <t>JOSE DAGOBERTO COTES GUZMAN</t>
  </si>
  <si>
    <t>Prestar sus servicios profesionales de manera personal, para apoyar al área de SARLAFT de la Gerencia de Riesgos. Identificación, análisis, monitoreo, control, mitigación y reporte de riesgos asociados al LA/FT, así como en la elaboración de documentos jurídicos, revisión de operaciones inusuales.</t>
  </si>
  <si>
    <t>JEAM NICOLAS ORBEGOZO FORERO</t>
  </si>
  <si>
    <t>Prestar sus servicios como abogado para dar apoyo jurídico y técnico en el proceso de indemnizaciones de los ramos SOAT, Vida y Accidentes Personales.</t>
  </si>
  <si>
    <t>ANDREY MEDINA CAICEDO</t>
  </si>
  <si>
    <t>VALENTINA BAQUERO TONKIN</t>
  </si>
  <si>
    <t>PAOLA ESPERANZA PEDREROS MUÑOZ</t>
  </si>
  <si>
    <t>JOHANN FABIAN LOPEZ GAITAN</t>
  </si>
  <si>
    <t>Prestar los servicios profesionales especializados para apoyar en temáticas de análisis, diseño e implementación de reportería y tableros de control, usando técnicas de Inteligencia de negocio.</t>
  </si>
  <si>
    <t>ANDRES JESUS LINDARTE NIÑO</t>
  </si>
  <si>
    <t>183-2025</t>
  </si>
  <si>
    <t>Prestar los servicios de apoyo jurídico y técnico al proceso de indemnizaciones de los ramos Soat y Accidentes personales.</t>
  </si>
  <si>
    <t>LINA MARCELA OVALLOS GAZABON</t>
  </si>
  <si>
    <t>168-2025</t>
  </si>
  <si>
    <t>Prestar el servicio de capacitación a los miembros de Junta Directiva de LA PREVISORA S.A. dirigida al desarrollo y fortalecimiento de competencias y conocimientos que permitan ejercer sus funciones.</t>
  </si>
  <si>
    <t>INSTITUTO COLOMBIANO DE GOBIERNO CORPORATIVO</t>
  </si>
  <si>
    <t>174-2025</t>
  </si>
  <si>
    <t xml:space="preserve">Representar en calidad pasiva a LA PREVISORA S.A. en los litigios
relacionados con el giro del negocio y que por tener vinculadas pólizas con reaseguro facultativo y/o control de reclamos, le sean asignados. </t>
  </si>
  <si>
    <t>VIVAS &amp; URIBE ABOGADOS SAS</t>
  </si>
  <si>
    <t>177-2025</t>
  </si>
  <si>
    <t>VELEZ GUTIERREZ ABOGADOS S.A.S.,</t>
  </si>
  <si>
    <t>178-2025</t>
  </si>
  <si>
    <t>ALEMAN ABOGADOS Y CONSULTORES S.A.S</t>
  </si>
  <si>
    <t>180-2025</t>
  </si>
  <si>
    <t>Prestar el servicio de diseño y aplicación de las pruebas de conocimiento en la modalidad de ingreso y/o ascenso para los cargos que se requieran, con lo cual también permitirá el uso y administración de su plataforma virtual y el alquiler de salones con los equipos de cómputo
necesarios.</t>
  </si>
  <si>
    <t>181-2025</t>
  </si>
  <si>
    <t>CASTILLO &amp; CASTILLO CONSULTORES EN DERECHO S.A.S.</t>
  </si>
  <si>
    <t>185-2025</t>
  </si>
  <si>
    <t>186-2025</t>
  </si>
  <si>
    <t>ERNST &amp; YOUNG S A S</t>
  </si>
  <si>
    <t>Representar en calidad pasiva a LA PREVISORA S.A, en litigios
relacionados con el giro del negocio y que por tener vinculadas pólizas con reaseguro facultativo y/o control de reclamos, le sean asignados.</t>
  </si>
  <si>
    <t>DIAZ GRANADOS &amp; ABOGADOS CONSULTORES S A S</t>
  </si>
  <si>
    <t>188-2025</t>
  </si>
  <si>
    <t>Representar en calidad pasiva a LA PREVISORA S.A. en los litigios relacionados con el giro del negocio y que por tener vinculadas pólizas con reaseguro facultativo y/o control de reclamos, le sean asignados.</t>
  </si>
  <si>
    <t>192-2025</t>
  </si>
  <si>
    <t xml:space="preserve">Prestar sus servicios para el desarrollo de herramientas y mecanismos, así como la generación de actividades demostrativas y/o de gamificación soportadas en tecnologías disruptivas como la inteligencia artificial, automatización, internet de las cosas, videojuegos, experiencias inmersivas, entre otras, que permitan el apalancamiento de la transformación digital en la Entidad. </t>
  </si>
  <si>
    <t>193-2025</t>
  </si>
  <si>
    <t>194-2025</t>
  </si>
  <si>
    <t>PLAN DE CONTINUIDAD</t>
  </si>
  <si>
    <t xml:space="preserve">Prestar los servicios de consultoría para desarrollar y ejecutar las pruebas de los planes de continuidad de negocio y gestión de crisis establecidos por La Previsora, conforme a lo reglamentado, con el fin de mitigar los riesgos desencadenados por eventuales desastres naturales, fallas de infraestructura, amenazas internas, ruptura de servicios críticos, cambios legales y regulatorios, eventos de salud pública, daños reputacionales, ciberataques, fallas tecnológicas, entre otras.    </t>
  </si>
  <si>
    <t>INFRAESTRUCTURAS SEGURAS S.A.S.</t>
  </si>
  <si>
    <t>Suministrar ochenta y dos (82) bonos de carbono en el Proyecto REDD+-PAZCÍFICO sur, con el fin de compensar la huella de carbono institucional de La Previsora.</t>
  </si>
  <si>
    <t>CO2CERO S.A.S BIC</t>
  </si>
  <si>
    <t>196-2025</t>
  </si>
  <si>
    <t>197-2025</t>
  </si>
  <si>
    <t>Prestar el servicio de elaboración y suministro de piezas gráficas impresas correspondientes al material publicitario y merchandising derivado de la estrategia de mercadeo y comunicación de LA PREVISORA S.A.</t>
  </si>
  <si>
    <t>MULTI IMPRESOS SAS</t>
  </si>
  <si>
    <t>Contratar la inscripción y participación de dos (2) funcionarios en el XVI foro internacional de la calidad.</t>
  </si>
  <si>
    <t>198-2025</t>
  </si>
  <si>
    <t>199-2025</t>
  </si>
  <si>
    <t xml:space="preserve">Prestación de servicios profesionales para la revisión anual de la calificación de “Fortaleza Financiera”. </t>
  </si>
  <si>
    <t>FITCH RATINGS COLOMBIA S A SOCIEDAD CALIFICADORA DE VALORES</t>
  </si>
  <si>
    <t>Suministro de un (1) aire acondicionado tipo Mini-Split de pared.</t>
  </si>
  <si>
    <t>AIR CONTROL SYSTEMS S.A.S.</t>
  </si>
  <si>
    <t>201-2025</t>
  </si>
  <si>
    <t>200-2025</t>
  </si>
  <si>
    <t>Suministro de dos (2) sillas presidente neffi color negro marca Ergonomus.</t>
  </si>
  <si>
    <t>SUMIMAS S A S</t>
  </si>
  <si>
    <t>Suministro de una (1) silla giratoria de cabecero y espaldar en malla poliéster con apoyo lumbar regulable.</t>
  </si>
  <si>
    <t>WONDERFUL MUEBLES SPAZIO W S.A. S.</t>
  </si>
  <si>
    <t>HONORARIOS ADMINISTRATIVOS /ARRENDAMIENTO TECNOLOGICO</t>
  </si>
  <si>
    <t>Gerencia Contable Y Tributaria
Gerencia De Tecnología De La Información</t>
  </si>
  <si>
    <t>Prestar el servicio de mantenimiento preventivo, correctivo y soporte técnico de la plataforma TOTAL REPORT, incluyendo los desarrollos en el aplicativo que sean requeridos por LA PREVISORA S.A.</t>
  </si>
  <si>
    <t>prestar en las instalaciones de la Previsora S.A. Compañía de Seguros de la ciudad de Bogotá el servicio de saneamiento ambiental, fumigación, consistente en el control de insectos, roedores, plagas y microorganismos.</t>
  </si>
  <si>
    <t>GASTOS DE ARCHIVO Y MICROFILMACIÓN</t>
  </si>
  <si>
    <t>El arrendador concede al Arrendatario el gode del inmueble indentificado en la dirección Local No. 26 del Centro Comercial Las Palmas, ubicado en la calle 57 No. 8-69 de esta ciudad. DESTINACION: El arrendatario se compromete a destinar este inmueble para el almacenamiento y conservación del archivo de consultas de las Regionales Centro, Intermediarios y Casa Matriz de La Previsora S.A.</t>
  </si>
  <si>
    <t>Prestar sus servicios profesionales de asesoría permanente y emisión de conceptos en materia tributaria aplicable a los impuestos nacionales y municipales para LA PREVISORA S.A. así como el servicio de soporte para la Gerencia Contable y Tributaria de LA PREVISORA S.A. en los procesos de planeación supervisión y revisión de la declaración de renta y complementarios y brindar apoyo en la contestación de requerimientos realizados por los entes de control a nivel interno y externo.</t>
  </si>
  <si>
    <t>EL MARTILLO se compromete a ofrecer los bienes imuebles de propiedad de LA PREVISORA S.A., que ésta le indique, a través del MARTILLO DEL BANCO POPULAR, para adjudicarlos al mejor postor mediante los sistemas de Subasta Pública, Oferta Pública, Invitación a Ofrecer, o cualquier otro sistema previamente acordado por las partes.</t>
  </si>
  <si>
    <t>PORCENTAJE DE EJECUCIÓN PRESUPUESTAL</t>
  </si>
  <si>
    <t>176-2025</t>
  </si>
  <si>
    <t>Prestar el servicio de Administración de Riesgos para el ramo de Transportes, de los clientes asignados por la Oficina de Transportes y la Oficina de Prevención de Riesgos.</t>
  </si>
  <si>
    <t>187-2025</t>
  </si>
  <si>
    <t>Prestar sus servicios profesionales de apoyo a la gestión técnica de la Gerencia técnica de Indemnizaciones SOAT, VIDA Y AP con el fin de realizar el cargue de documentos, hacer revisión de proceso de recepción de reclamaciones, objeciones, análisis y validación de todas las novedades.</t>
  </si>
  <si>
    <t>LAURA ALEJANDRA FIGUEROA REYES</t>
  </si>
  <si>
    <t>202-2025</t>
  </si>
  <si>
    <t>203-2025</t>
  </si>
  <si>
    <t>204-2025</t>
  </si>
  <si>
    <t>_Gerencia de Innovación y Procesos
_Subgerencia de Mejoramiento de Procesos</t>
  </si>
  <si>
    <t xml:space="preserve">Prestar los servicios especializados del ciclo DEVOPS en LA PREVISORA S.A, incluyendo la suscripción o licenciamiento de las herramientas utilizadas para la personalización, desarrollo e implementación de las herramientas DEVOPS, la capacitación y administración integral de la
solución. </t>
  </si>
  <si>
    <t>CONSULTORIAS INTEGRALES Y SOLUCIONES INFORMATICAS, CONTABLES Y ADMINISTRATIVAS S.A.S.</t>
  </si>
  <si>
    <t>prestar el servicio de mantenimiento, soporte técnico, capacitación y desarrollos de la plataforma ISOLUCION.</t>
  </si>
  <si>
    <t>ISOLUCION SISTEMAS INTEGRADOS DE GESTION S.A</t>
  </si>
  <si>
    <t>Contratar la inscripción y participación de un (1) funcionario en el evento #Somos LFM- Latam Fintech Market.</t>
  </si>
  <si>
    <t>ASOCIACION COLOMBIANA DE EMPRESAS DE TECNOLOGIA E INNOVACION FINANCIERA</t>
  </si>
  <si>
    <t>205-2025</t>
  </si>
  <si>
    <t>206-2025</t>
  </si>
  <si>
    <t>207-2025</t>
  </si>
  <si>
    <t>JUDICIALES, NOTARIALES Y
DE REGISTRO</t>
  </si>
  <si>
    <t>ADECUACION E INSTALACION
DE OFICINA</t>
  </si>
  <si>
    <t>Suministro de 2 tablets para el sistema de control de activos</t>
  </si>
  <si>
    <t>Prestar el servicio de inspección y certificación, conforme a la legislación vigente, con los requisitos establecidos en la Norma Técnica Colombiana de los transportes verticales y puertas eléctricas.</t>
  </si>
  <si>
    <t xml:space="preserve">INSPECCION Y CERTIFICACION MULTINACIONAL SAS </t>
  </si>
  <si>
    <t>Realizar el desmonte del sistema de detección y extinción automática de incendio.</t>
  </si>
  <si>
    <t xml:space="preserve"> FAST FIRE DE COLOMBIA S.A.S.</t>
  </si>
  <si>
    <t>208-2025</t>
  </si>
  <si>
    <t>Realizar el desmonte, embalaje y traslado de una unidad de aire acondicionado de precisión de 16 TR de refrigeración, marca Data Aire, junto con su condensadora externa, actualmente ubicadas respectivamente en el piso 8 y en la terraza del edificio de la Casa Matriz.</t>
  </si>
  <si>
    <t>209-2025</t>
  </si>
  <si>
    <t xml:space="preserve">Realizar una auditoría energética en la Casa Matriz de LA PREVISORA S.A., la cual incluirá la medición, análisis y observación detallada de los usos y consumos energéticos. </t>
  </si>
  <si>
    <t>DENKEN S.A.S</t>
  </si>
  <si>
    <t>210-2025</t>
  </si>
  <si>
    <t>211-2025</t>
  </si>
  <si>
    <t xml:space="preserve">Prestar los servicios profesionales, con plena autonomía técnica, administrativa y operacional para apoyar a la Gerencia Contable y Tributaria en la evaluación, clasificación, identificación y
elaboración de planes de acción para mejorar el proceso de depuración de terceros. </t>
  </si>
  <si>
    <t>Realizar el mantenimiento especializado e integral de la fachada, pisos, antepecho y ventaneria incluyendo marcos del edificio de Casa Matriz.</t>
  </si>
  <si>
    <t>GOLDAM SERVICES S.A.S.</t>
  </si>
  <si>
    <t>212-2025</t>
  </si>
  <si>
    <t>213-2025</t>
  </si>
  <si>
    <t>Prestar los servicios a través de una persona jurídica especializada para apoyar la gestión de la Seguridad de la Información y la Ciberseguridad de la compañía.</t>
  </si>
  <si>
    <t>NEWNET S.A</t>
  </si>
  <si>
    <t>Entrega de material promocional con la marca de LA PREVISORA S.A., para participar publicitariamente en ferias, exposiciones y seminarios, generando estatus y reconocimiento en actividades comerciales.</t>
  </si>
  <si>
    <t>214-2025</t>
  </si>
  <si>
    <t>Prestar el Servicio integral arrendamiento de Equipos de Cómputo y Gestión de Servicios de TI.</t>
  </si>
  <si>
    <t>OPEN GROUP SAS</t>
  </si>
  <si>
    <t>RESULTADO FINANCIERO/
GASTOS DE EMISION DE POLIZAS/
GASTOS DISTRIBUCION
(AGENCIAS, FRANQUICIAS,
PTOS DE VTA, SATELITES Y
VIRTUALES)</t>
  </si>
  <si>
    <t>Prestar los servicios de acompañamiento y validación de documentos para la correcta implementación del Plan de Cierre de Brechas definido por la Oficina de Control Interno de LA PREVISORA S.A., con el fin de documentar en debida forma los requisitos definidos en las NOGAI y realizar la actualización de la metodología y documentación del proceso.</t>
  </si>
  <si>
    <t>Entrega en arrendamiento comercial a EL ARRENDATARIO el uso y goce del inmueble ubicado en la dirección calle 6 No. 11-61 Local 01 de la ciudad de Florencia.</t>
  </si>
  <si>
    <t>215-2025</t>
  </si>
  <si>
    <t xml:space="preserve">Realizar el proceso de inscripción de los funcionarios solicitados por LA PREVISORA S.A., para la participación y asistencia al XII Congreso
Internacional de Gerencia de Proyectos, en la Ciudad de Bogotá D.C., 2025. </t>
  </si>
  <si>
    <t>PMI BOGOTA COLOMBIA CHAPTER.</t>
  </si>
  <si>
    <t>216-2025</t>
  </si>
  <si>
    <t>Prestar el servicio a nivel nacional de auditoría interna, valoración del riesgo, auditoría de calidad, ambiental, innovación y seguimiento del Sistema de Control Interno.</t>
  </si>
  <si>
    <t>La Previsora faculta a la Agencia Promotora para que por su propia cuenta y riesgo y mediante su propia organización comercial la represente únicamente en el ejercicio de las  actividades para promover la colocacion y renovación de contratos de seguro a que se refiere el Anexo N°1 del presente contrato, cotizar y expedir físicamente las pólizas y productos autorizados, no por si misma sino por medio de los intermediarios de seguros adscritos a Previsora a través de la promotora en la ciudad de Barranquilla.</t>
  </si>
  <si>
    <t>https://community.secop.gov.co/Public/Tendering/ContractNoticePhases/View?PPI=CO1.PPI.41328911&amp;isFromPublicArea=True&amp;isModal=False</t>
  </si>
  <si>
    <t>https://community.secop.gov.co/Public/Tendering/ContractNoticePhases/View?PPI=CO1.PPI.39295184&amp;isFromPublicArea=True&amp;isModal=False</t>
  </si>
  <si>
    <t>https://community.secop.gov.co/Public/Tendering/ContractNoticePhases/View?PPI=CO1.PPI.42205821&amp;isFromPublicArea=True&amp;isModal=False</t>
  </si>
  <si>
    <t>https://community.secop.gov.co/Public/Tendering/ContractNoticePhases/View?PPI=CO1.PPI.41697832&amp;isFromPublicArea=True&amp;isModal=False</t>
  </si>
  <si>
    <t>https://community.secop.gov.co/Public/Tendering/ContractNoticePhases/View?PPI=CO1.PPI.42334866&amp;isFromPublicArea=True&amp;isModal=False</t>
  </si>
  <si>
    <t xml:space="preserve">https://community.secop.gov.co/Public/Tendering/ContractNoticePhases/View?PPI=CO1.PPI.42201877&amp;isFromPublicArea=True&amp;isModal=False </t>
  </si>
  <si>
    <t>https://community.secop.gov.co/Public/Tendering/ContractNoticePhases/View?PPI=CO1.PPI.41911560&amp;isFromPublicArea=True&amp;isModal=False</t>
  </si>
  <si>
    <t>https://community.secop.gov.co/Public/Tendering/ContractNoticePhases/View?PPI=CO1.PPI.41914397&amp;isFromPublicArea=True&amp;isModal=False</t>
  </si>
  <si>
    <t>https://community.secop.gov.co/Public/Tendering/ContractNoticePhases/View?PPI=CO1.PPI.41313974&amp;isFromPublicArea=True&amp;isModal=False</t>
  </si>
  <si>
    <t>https://community.secop.gov.co/Public/Tendering/ContractNoticePhases/View?PPI=CO1.PPI.42170432&amp;isFromPublicArea=True&amp;isModal=False</t>
  </si>
  <si>
    <t>https://community.secop.gov.co/Public/Tendering/ContractNoticePhases/View?PPI=CO1.PPI.42207605&amp;isFromPublicArea=True&amp;isModal=False</t>
  </si>
  <si>
    <t>https://community.secop.gov.co/Public/Tendering/OpportunityDetail/Index?noticeUID=CO1.NTC.8696180&amp;isFromPublicArea=True&amp;isModal=False</t>
  </si>
  <si>
    <t>https://community.secop.gov.co/Public/Tendering/ContractNoticePhases/View?PPI=CO1.PPI.41315547&amp;isFromPublicArea=True&amp;isModal=False</t>
  </si>
  <si>
    <t>https://community.secop.gov.co/Public/Tendering/ContractNoticePhases/View?PPI=CO1.PPI.42200877&amp;isFromPublicArea=True&amp;isModal=False</t>
  </si>
  <si>
    <t xml:space="preserve">https://community.secop.gov.co/Public/Tendering/ContractNoticePhases/View?PPI=CO1.PPI.42208367&amp;isFromPublicArea=True&amp;isModal=False </t>
  </si>
  <si>
    <t>https://community.secop.gov.co/Public/Tendering/ContractNoticePhases/View?PPI=CO1.PPI.42201081&amp;isFromPublicArea=True&amp;isModal=False</t>
  </si>
  <si>
    <t>https://community.secop.gov.co/Public/Tendering/ContractNoticePhases/View?PPI=CO1.PPI.41734140&amp;isFromPublicArea=True&amp;isModal=False</t>
  </si>
  <si>
    <t>https://community.secop.gov.co/Public/Tendering/ContractNoticePhases/View?PPI=CO1.PPI.42200163&amp;isFromPublicArea=True&amp;isModal=False</t>
  </si>
  <si>
    <t>https://community.secop.gov.co/Public/Tendering/OpportunityDetail/Index?noticeUID=CO1.NTC.8669151&amp;a…</t>
  </si>
  <si>
    <t>https://community.secop.gov.co/Public/Tendering/ContractNoticePhases/View?PPI=CO1.PPI.41315824&amp;isFromPublicArea=True&amp;isModal=False</t>
  </si>
  <si>
    <t>https://community.secop.gov.co/Public/Tendering/ContractNoticePhases/View?PPI=CO1.PPI.42175120&amp;…</t>
  </si>
  <si>
    <t>https://community.secop.gov.co/Public/Tendering/ContractNoticePhases/View?PPI=CO1.PPI.42238741&amp;isFromPublicArea=True&amp;isModal=False</t>
  </si>
  <si>
    <t>https://community.secop.gov.co/Public/Tendering/ContractNoticePhases/View?PPI=CO1.PPI.42231811&amp;isFromPublicArea=True&amp;isModal=False</t>
  </si>
  <si>
    <t>https://community.secop.gov.co/Public/Tendering/ContractNoticePhases/View?PPI=CO1.PPI.41906772&amp;isFromPublicArea=True&amp;isModal=False</t>
  </si>
  <si>
    <t>https://community.secop.gov.co/Public/Tendering/ContractNoticePhases/View?PPI=CO1.PPI.42396730&amp;isFromPublicArea=True&amp;isModal=False</t>
  </si>
  <si>
    <t>https://community.secop.gov.co/Public/Tendering/ContractNoticePhases/View?PPI=CO1.PPI.41880005&amp;isFromPublicArea=True&amp;isModal=False</t>
  </si>
  <si>
    <t>https://community.secop.gov.co/Public/Tendering/ContractNoticePhases/View?PPI=CO1.PPI.42179454&amp;…</t>
  </si>
  <si>
    <t>https://community.secop.gov.co/Public/Tendering/ContractNoticePhases/View?PPI=CO1.PPI.41905602&amp;isFromPublicArea=True&amp;isModal=False</t>
  </si>
  <si>
    <t>https://community.secop.gov.co/Public/Tendering/OpportunityDetail/Index?noticeUID=CO1.NTC.8712129&amp;isFromPublicArea=True&amp;isModal=False</t>
  </si>
  <si>
    <t>https://community.secop.gov.co/Public/Tendering/ContractNoticePhases/View?PPI=CO1.PPI.41730445&amp;…</t>
  </si>
  <si>
    <t>https://community.secop.gov.co/Public/Tendering/ContractNoticePhases/View?PPI=CO1.PPI.42422456&amp;isFromPublicArea=True&amp;isModal=False</t>
  </si>
  <si>
    <t>https://community.secop.gov.co/Public/Tendering/ContractNoticePhases/View?PPI=CO1.PPI.42114488&amp;isFromPublicArea=True&amp;isModal=False</t>
  </si>
  <si>
    <t>https://community.secop.gov.co/Public/Tendering/ContractNoticePhases/View?PPI=CO1.PPI.42417752&amp;isFromPublicArea=True&amp;isModal=False</t>
  </si>
  <si>
    <t>https://community.secop.gov.co/Public/Tendering/ContractNoticePhases/View?PPI=CO1.PPI.42419133&amp;isFromPublicArea=True&amp;isModal=False</t>
  </si>
  <si>
    <t>https://community.secop.gov.co/Public/Tendering/ContractNoticePhases/View?PPI=CO1.PPI.42419788&amp;isFromPublicArea=True&amp;isModal=False</t>
  </si>
  <si>
    <t>https://www.secop.gov.co/CO1BusinessLine/Tendering/ProcedureEdit/View?docUniqueIdentifier=CO1.REQ.4248780&amp;prevCtxUrl=https%3a%2f%2fwww.secop.gov.co%2fCO1BusinessLine%2fTendering%2fBuyerDossierWorkspace%2fIndex%3freference%3d123-2022%26createDateFrom%3d01%2f08%2f2021+07%3a29%3a00%26createDateTo%3d01%2f02%2f2024+19%3a29%3a00%26filteringState%3d0%26sortingState%3dLastModifiedDESC%26showAdvancedSearch%3dTrue%26showAdvancedSearchFields%3dFalse%26advSrchFolderCode%3dALL%26selectedDossier%3dCO1.BDOS.4151591%26selectedRequest%3dCO1.REQ.4248780%26&amp;prevCtxLbl=Procesos+de+la+Entidad+Estatal</t>
  </si>
  <si>
    <t>https://www.secop.gov.co/CO1BusinessLine/Tendering/ProcedureEdit/View?docUniqueIdentifier=CO1.REQ.3969488&amp;prevCtxUrl=https%3a%2f%2fwww.secop.gov.co%2fCO1BusinessLine%2fTendering%2fBuyerDossierWorkspace%2fIndex%3freference%3d125-2022%26createDateFrom%3d01%2f08%2f2021+07%3a30%3a00%26createDateTo%3d01%2f02%2f2024+19%3a30%3a00%26filteringState%3d0%26sortingState%3dLastModifiedDESC%26showAdvancedSearch%3dTrue%26showAdvancedSearchFields%3dFalse%26advSrchFolderCode%3dALL%26selectedDossier%3dCO1.BDOS.3874013%26selectedRequest%3dCO1.REQ.3969488%26&amp;prevCtxLbl=Procesos+de+la+Entidad+Estatal</t>
  </si>
  <si>
    <t>$429.541.991</t>
  </si>
  <si>
    <t>ARRENDAMIENTO
TECNOLÓGICO
MESA DE AYUDA</t>
  </si>
  <si>
    <t>https://community.secop.gov.co/Public/Tendering/ContractNoticePhases/View?PPI=CO1.PPI.42603554&amp;…</t>
  </si>
  <si>
    <t>https://community.secop.gov.co/Public/Tendering/ContractNoticePhases/View?PPI=CO1.PPI.41857547&amp;…</t>
  </si>
  <si>
    <t>https://community.secop.gov.co/Public/Tendering/ContractNoticePhases/View?PPI=CO1.PPI.42392567&amp;…</t>
  </si>
  <si>
    <t>https://community.secop.gov.co/Public/Tendering/ContractNoticePhases/View?PPI=CO1.PPI.42254541&amp;…</t>
  </si>
  <si>
    <t>https://community.secop.gov.co/Public/Tendering/ContractNoticePhases/View?PPI=CO1.PPI.42400710&amp;…</t>
  </si>
  <si>
    <t>https://community.secop.gov.co/Public/Tendering/ContractNoticePhases/View?PPI=CO1.PPI.42418358&amp;…</t>
  </si>
  <si>
    <t>https://community.secop.gov.co/Public/Tendering/ContractNoticePhases/View?PPI=CO1.PPI.42401774&amp;…</t>
  </si>
  <si>
    <t>https://community.secop.gov.co/Public/Tendering/ContractNoticePhases/View?PPI=CO1.PPI.42423172&amp;isFromPublicArea=True&amp;isModal=False</t>
  </si>
  <si>
    <t>https://community.secop.gov.co/Public/Tendering/ContractNoticePhases/View?PPI=CO1.PPI.42975345&amp;…</t>
  </si>
  <si>
    <t>https://community.secop.gov.co/Public/Tendering/ContractNoticePhases/View?PPI=CO1.PPI.42988353&amp;…</t>
  </si>
  <si>
    <t>https://community.secop.gov.co/Public/Tendering/ContractNoticePhases/View?PPI=CO1.PPI.42986415&amp;…</t>
  </si>
  <si>
    <t>https://community.secop.gov.co/Public/Tendering/ContractNoticePhases/View?PPI=CO1.PPI.42989036&amp;…</t>
  </si>
  <si>
    <t>https://community.secop.gov.co/Public/Tendering/ContractNoticePhases/View?PPI=CO1.PPI.43007841&amp;…</t>
  </si>
  <si>
    <t>https://community.secop.gov.co/Public/Tendering/ContractNoticePhases/View?PPI=CO1.PPI.42985348&amp;…</t>
  </si>
  <si>
    <t>https://community.secop.gov.co/Public/Tendering/ContractNoticePhases/View?PPI=CO1.PPI.42982844&amp;…</t>
  </si>
  <si>
    <t>https://community.secop.gov.co/Public/Tendering/ContractNoticePhases/View?PPI=CO1.PPI.42984344&amp;…</t>
  </si>
  <si>
    <t>https://community.secop.gov.co/Public/Tendering/ContractNoticePhases/View?PPI=CO1.PPI.42983559&amp;…</t>
  </si>
  <si>
    <t>https://community.secop.gov.co/Public/Tendering/ContractNoticePhases/View?PPI=CO1.PPI.43008972&amp;…</t>
  </si>
  <si>
    <t>https://community.secop.gov.co/Public/Tendering/ContractNoticePhases/View?PPI=CO1.PPI.42977144&amp;…</t>
  </si>
  <si>
    <t>https://community.secop.gov.co/Public/Tendering/ContractNoticePhases/View?PPI=CO1.PPI.43014936&amp;…</t>
  </si>
  <si>
    <t>https://community.secop.gov.co/Public/Tendering/ContractNoticePhases/View?PPI=CO1.PPI.42982016&amp;…</t>
  </si>
  <si>
    <t>https://operaciones.colombiacompra.gov.co/tienda-virtual-del-estado-colombiano/ordenes-compra/145773</t>
  </si>
  <si>
    <t>NÚMERO DE CONTRATO</t>
  </si>
  <si>
    <t xml:space="preserve"> CONTRATOS 2025 Y VIGENCIAS ANTERIORES A 30 SEPTIEMBRE 2025</t>
  </si>
  <si>
    <t>VALOR PAGADO (EN PESOS)
(TOTAL VR. FACTURAS)</t>
  </si>
  <si>
    <t>LINK CONSULTA SECOP I II 
(SEGÚN APLIQUE)</t>
  </si>
  <si>
    <t>300-2025-0001</t>
  </si>
  <si>
    <t>Servicios de inspección de los bienes asegurables y/o asegurados y/o servicios de administración de riesgos y control de pérdidas, de riesgos en curso y/o por suscribir asignados por LA PREVISORA S.A.</t>
  </si>
  <si>
    <t>https://community.secop.gov.co/Public/Tendering/ContractNoticePhases/View?PPI=CO1.PPI.39655657&amp;isFromPublicArea=True&amp;isModal=False</t>
  </si>
  <si>
    <t>300-2025-0002</t>
  </si>
  <si>
    <t>COMERCIAL Y SERVICIOS LARCO S.A.S.</t>
  </si>
  <si>
    <t>https://community.secop.gov.co/Public/Tendering/ContractNoticePhases/View?PPI=CO1.PPI.39656181&amp;isFromPublicArea=True&amp;isModal=False</t>
  </si>
  <si>
    <t>300-2025-0003</t>
  </si>
  <si>
    <t>Suministro e instalación de dos equipos de aire acondicionado tipo suspendido de techo con capacidad de 5tr y tecnología inverter.</t>
  </si>
  <si>
    <t>IMT INGENIERIA LTDA</t>
  </si>
  <si>
    <t>https://community.secop.gov.co/Public/Tendering/ContractNoticePhases/View?PPI=CO1.PPI.39743022&amp;isFromPublicArea=True&amp;isModal=False</t>
  </si>
  <si>
    <t>300-2025-0004</t>
  </si>
  <si>
    <t>Mantenimiento preventivo y correctivo (incluye suministro e instalación de repuestos) para los aires acondicionados de la sucursal de Villavicencio.</t>
  </si>
  <si>
    <t xml:space="preserve">ELVIS FERNANDO TOLEDO ESTRELLA </t>
  </si>
  <si>
    <t>MANTENIMIENTO Y
REPARACIONES
ADMINISTRATIVAS
_INV. ADQUISICIÓN ACTIVOS
FIJOS</t>
  </si>
  <si>
    <t>https://community.secop.gov.co/Public/Tendering/ContractNoticePhases/View?PPI=CO1.PPI.39743987&amp;isFromPublicArea=True&amp;isModal=False</t>
  </si>
  <si>
    <t>300-2025-0005</t>
  </si>
  <si>
    <t>Prestar los servicios para el Mantenimiento Preventivo de los siete (07) aires acondicionados ubicados en La Previsora S.A. Sucursal Florencia</t>
  </si>
  <si>
    <t>AINECOL S.A.S.</t>
  </si>
  <si>
    <t>https://community.secop.gov.co/Public/Tendering/ContractNoticePhases/View?PPI=CO1.PPI.39745286&amp;isFromPublicArea=True&amp;isModal=False</t>
  </si>
  <si>
    <t>300-2025-0006</t>
  </si>
  <si>
    <t>Servicio de parqueadero para funcionaria (Lelia Rosa López Hernández) placa DFN 441.</t>
  </si>
  <si>
    <t>PERLA MAGNOLIA LASTRA AGUIAR</t>
  </si>
  <si>
    <t>https://community.secop.gov.co/Public/Tendering/ContractNoticePhases/View?PPI=CO1.PPI.39947344&amp;isFromPublicArea=True&amp;isModal=False</t>
  </si>
  <si>
    <t>300-2025-0007</t>
  </si>
  <si>
    <t>Prestar sus servicios en el alquiler de 7 celdas para el parqueo de vehículos de los funcionarios de Previsora en la sede Automar</t>
  </si>
  <si>
    <t>SENTIDO IMMOBILIARIO S.A.S.</t>
  </si>
  <si>
    <t>https://community.secop.gov.co/Public/Tendering/ContractNoticePhases/View?PPI=CO1.PPI.39948512&amp;isFromPublicArea=True&amp;isModal=False</t>
  </si>
  <si>
    <t>300-2025-0008</t>
  </si>
  <si>
    <t>Arrendamiento de tres cupos de parqueadero ubicado en el EDIFICIO CENTRO COMERCIAL CABLE PLAZA para tres vehículos para ser utilizado de lunes a viernes por los funcionarios de La Previsora S.A. Sucursal Manizales.</t>
  </si>
  <si>
    <t>EDIFICIO CENTRO COMERCIAL CABLE PLAZA  - PROPIEDAD HORIZONTAL</t>
  </si>
  <si>
    <t>https://community.secop.gov.co/Public/Tendering/ContractNoticePhases/View?PPI=CO1.PPI.40100125&amp;isFromPublicArea=True&amp;isModal=False</t>
  </si>
  <si>
    <t>300-2025-0009</t>
  </si>
  <si>
    <t>Arrendamiento de parqueaderos 50-51 EDIFICIO FORUM ubicados en la Carrera 23C N 62-06 de la ciudad de Manizales, para ser utilizados de lunes a viernes por funcionarios de La Previsora S.A. Sucursal Manizales</t>
  </si>
  <si>
    <t>JORGE WILLIAM GÓMEZ VALENCIA</t>
  </si>
  <si>
    <t>https://community.secop.gov.co/Public/Tendering/ContractNoticePhases/View?PPI=CO1.PPI.40228574&amp;isFromPublicArea=True&amp;isModal=False</t>
  </si>
  <si>
    <t>300-2025-0010</t>
  </si>
  <si>
    <t>Servicio de mantenimiento equipos de aire acondicionado Suc Armenia.</t>
  </si>
  <si>
    <t>TERMOSISTEMAS S.A.S.</t>
  </si>
  <si>
    <t>https://community.secop.gov.co/Public/Tendering/ContractNoticePhases/View?PPI=CO1.PPI.40230413&amp;isFromPublicArea=True&amp;isModal=False</t>
  </si>
  <si>
    <t>300-2025-0011</t>
  </si>
  <si>
    <t>Entrega en arrendamiento comercial a EL ARRENDATARIO el uso y goce del inmueble ubicado en la Carrera 2 N° 24-14 Oficina 204 Edificio
Granahorrar de la ciudad de Quibdó - Chocó.</t>
  </si>
  <si>
    <t>DERECHO &amp; RAZÓN ASOCIADOS S.A.S. DH&amp;R</t>
  </si>
  <si>
    <t>https://community.secop.gov.co/Public/Tendering/ContractNoticePhases/View?PPI=CO1.PPI.41314820&amp;isFromPublicArea=True&amp;isModal=False</t>
  </si>
  <si>
    <t>300-2025-0012</t>
  </si>
  <si>
    <t>Servicio de Alquiler de cuatro parqueaderos para funcionarios sucursal Pereira.</t>
  </si>
  <si>
    <t>https://community.secop.gov.co/Public/Tendering/ContractNoticePhases/View?PPI=CO1.PPI.40233143&amp;isFromPublicArea=True&amp;isModal=False</t>
  </si>
  <si>
    <t>300-2025-0013</t>
  </si>
  <si>
    <t>Mantenimiento preventivo y correctivo (incluye suministro e instalación de repuestos) con una periodicidad trimestral a los
aires acondicionados de la sucursal Yopal</t>
  </si>
  <si>
    <t>https://community.secop.gov.co/Public/Tendering/ContractNoticePhases/View?PPI=CO1.PPI.40233935&amp;isFromPublicArea=True&amp;isModal=False</t>
  </si>
  <si>
    <t>300-2025-0014</t>
  </si>
  <si>
    <t>Suministrar greca de 60 tintos para la sucursal Arauca.</t>
  </si>
  <si>
    <t>https://community.secop.gov.co/Public/Tendering/ContractNoticePhases/View?PPI=CO1.PPI.40234834&amp;isFromPublicArea=True&amp;isModal=False</t>
  </si>
  <si>
    <t>300-2025-0015</t>
  </si>
  <si>
    <t>Mantenimientos preventivo y correctivo de dos equipos de aires acondicionados y refrigeración centrales y dos mini Split.</t>
  </si>
  <si>
    <t>NILSON NICOLAI MORA IZQUIERDO</t>
  </si>
  <si>
    <t>https://community.secop.gov.co/Public/Tendering/ContractNoticePhases/View?PPI=CO1.PPI.40235503&amp;isFromPublicArea=True&amp;isModal=False</t>
  </si>
  <si>
    <t>300-2025-0016</t>
  </si>
  <si>
    <t>Servicio de parqueadero para los funcionarios de la Previsora S.A. sucursal Cali.</t>
  </si>
  <si>
    <t>PARQUEADERO ASOMEJIAS LTDA.</t>
  </si>
  <si>
    <t>https://community.secop.gov.co/Public/Tendering/ContractNoticePhases/View?PPI=CO1.PPI.39480457&amp;isFromPublicArea=True&amp;isModal=False</t>
  </si>
  <si>
    <t>300-2025-0017</t>
  </si>
  <si>
    <t>Mantenimiento preventivo y correctivo de 7 aires acondicionados ubicados en la Sucursa Buenaventura.</t>
  </si>
  <si>
    <t>CENTRAL DE AIRES DEL PACIFICO LTDA.</t>
  </si>
  <si>
    <t>https://community.secop.gov.co/Public/Tendering/ContractNoticePhases/View?PPI=CO1.PPI.39485526&amp;isFromPublicArea=True&amp;isModal=False</t>
  </si>
  <si>
    <t>300-2025-0018</t>
  </si>
  <si>
    <t>Prestar el servicio de venta e instalación de aires acondicionados 1 minisplit de 24 mil BTU, una
condensadora de 60 mil BTU (5 toneladas) y 2 minisplit de 12 mil BTU, para reemplazar los equipos dañados de la sucursal Cartagena.</t>
  </si>
  <si>
    <t xml:space="preserve">INGENIERÍA, PROYECTOS Y DISEÑOS S.A.S </t>
  </si>
  <si>
    <t>https://community.secop.gov.co/Public/Tendering/ContractNoticePhases/View?PPI=CO1.PPI.39491902&amp;isFromPublicArea=True&amp;isModal=False</t>
  </si>
  <si>
    <t>300-2025-0019</t>
  </si>
  <si>
    <t xml:space="preserve">Prestar el servicio de impresión monocromatico de carnets. </t>
  </si>
  <si>
    <t>OSVALDO ELIECER HOLGUIN ORDUZ</t>
  </si>
  <si>
    <t>https://community.secop.gov.co/Public/Tendering/ContractNoticePhases/View?PPI=CO1.PPI.39490472&amp;isFromPublicArea=True&amp;isModal=False</t>
  </si>
  <si>
    <t>300-2025-0020</t>
  </si>
  <si>
    <t>Alquiler de parqueadero para los funcionarios.</t>
  </si>
  <si>
    <t>LISBRAN S.A.S.</t>
  </si>
  <si>
    <t>https://community.secop.gov.co/Public/Tendering/ContractNoticePhases/View?PPI=CO1.PPI.39494397&amp;isFromPublicArea=True&amp;isModal=False</t>
  </si>
  <si>
    <t>300-2025-0021</t>
  </si>
  <si>
    <t>Prestar el servicio de mantenimiento preventivo de 5 aires acondicionados, mantenimiento correctivo del sistema de presión, del sistema electrico y cambio de rubatex y cinta vinilo.</t>
  </si>
  <si>
    <t>CINDEL JOSE ZAMARA TORO</t>
  </si>
  <si>
    <t>https://community.secop.gov.co/Public/Tendering/ContractNoticePhases/View?PPI=CO1.PPI.39489295&amp;isFromPublicArea=True&amp;isModal=False</t>
  </si>
  <si>
    <t>300-2025-0022</t>
  </si>
  <si>
    <t>Suministrar un (1) horno microondas con capacidad de 18 a 23 litros y una (1) brilladora para la sucursal Florencia Caquetá.</t>
  </si>
  <si>
    <t xml:space="preserve">https://community.secop.gov.co/Public/Tendering/ContractNoticePhases/View?PPI=CO1.PPI.39967662&amp;isFromPublicArea=True&amp;isModal=False </t>
  </si>
  <si>
    <t>300-2025-0023</t>
  </si>
  <si>
    <t>Realizar el mantenimiento general de las instalaciones de la oficina de la sucursal Yopal. (resane, estuco, pintura, etc).</t>
  </si>
  <si>
    <t>SOLON SOLUCIONES INTEGRALES DE MANTENIMIENTO S.A.S</t>
  </si>
  <si>
    <t xml:space="preserve">https://community.secop.gov.co/Public/Tendering/ContractNoticePhases/View?PPI=CO1.PPI.39973920&amp;isFromPublicArea=True&amp;isModal=False </t>
  </si>
  <si>
    <t>300-2025-0024</t>
  </si>
  <si>
    <t>Servicio de alquiler de parqueadero de seis (6 vehículos de propiedad de funcionarios de la Sucursal Cartagena.</t>
  </si>
  <si>
    <t xml:space="preserve">https://community.secop.gov.co/Public/Tendering/ContractNoticePhases/View?PPI=CO1.PPI.39976797&amp;isFromPublicArea=True&amp;isModal=False </t>
  </si>
  <si>
    <t>300-2025-0025</t>
  </si>
  <si>
    <t xml:space="preserve">Suministro e instalación de vidrios templados para el cerramiento del puesto front desk en la sucursal Medellin. </t>
  </si>
  <si>
    <t>QUINTERO ENSAMBLES S.A.S</t>
  </si>
  <si>
    <t>ADECUACION E INSTALACION DE OFICINA</t>
  </si>
  <si>
    <t xml:space="preserve">https://community.secop.gov.co/Public/Tendering/ContractNoticePhases/View?PPI=CO1.PPI.40005398&amp;isFromPublicArea=True&amp;isModal=False </t>
  </si>
  <si>
    <t>300-2025-0026</t>
  </si>
  <si>
    <t xml:space="preserve">Prestar el servicio de mantenimiento preventivo de los aires acondicionados de la sucursal. </t>
  </si>
  <si>
    <t xml:space="preserve">https://community.secop.gov.co/Public/Tendering/ContractNoticePhases/View?PPI=CO1.PPI.39718013&amp;isFromPublicArea=True&amp;isModal=False </t>
  </si>
  <si>
    <t>300-2025-0027</t>
  </si>
  <si>
    <t xml:space="preserve">Compra nevera WRW25CKTWW - marca Whirlpool no frost 263 LTS gris </t>
  </si>
  <si>
    <t>https://community.secop.gov.co/Public/Tendering/ContractNoticePhases/View?PPI=CO1.PPI.41314844&amp;isFromPublicArea=True&amp;isModal=False</t>
  </si>
  <si>
    <t>300-2025-0028</t>
  </si>
  <si>
    <t>Prestar el servicio de catering
Para Realización de Actividad De Lanzamiento Plan De Incentivos Mutuamente 2025
Intermediarios, Agentes Y Agencias Sucursal Armenia.</t>
  </si>
  <si>
    <t>https://community.secop.gov.co/Public/Tendering/ContractNoticePhases/View?PPI=CO1.PPI.41315412&amp;isFromPublicArea=True&amp;isModal=False</t>
  </si>
  <si>
    <t>Sucursal Popayan</t>
  </si>
  <si>
    <t>300-2025-0029</t>
  </si>
  <si>
    <t>Prestar el servicio de evento de lanzamiento mutuamente 2025 agentes y agencias sucursal Popayan.</t>
  </si>
  <si>
    <t>GRATTA SAS</t>
  </si>
  <si>
    <t xml:space="preserve">https://community.secop.gov.co/Public/Tendering/ContractNoticePhases/View?PPI=CO1.PPI.40006544&amp;isFromPublicArea=True&amp;isModal=False </t>
  </si>
  <si>
    <t>300-2025-0030</t>
  </si>
  <si>
    <t>Prestar el servicio de actividad de lanzamiento de los aliados de la PREVISORA S.A. Sucursal Neiva</t>
  </si>
  <si>
    <t>HOTELES DE NEIVA SOCIEDAD POR ACCIONES SIMPLIFICADA</t>
  </si>
  <si>
    <t>https://community.secop.gov.co/Public/Tendering/OpportunityDetail/Index?noticeUID=CO1.NTC.8136131&amp;isFromPublicArea=True&amp;isModal=False</t>
  </si>
  <si>
    <t>300-2025-0031</t>
  </si>
  <si>
    <t>Adquisición de un horno microondas industrial.</t>
  </si>
  <si>
    <t>JOSERRAGO S.A.S</t>
  </si>
  <si>
    <t>https://community.secop.gov.co/Public/Tendering/ContractNoticePhases/View?PPI=CO1.PPI.40007565&amp;isFromPublicArea=True&amp;isModal=False</t>
  </si>
  <si>
    <t>300-2025-0032</t>
  </si>
  <si>
    <t>Prestar el servicio de realizar el evento lanzamiento mutuamente 2025 agentes y agencias, sucursal Bucaramanga.</t>
  </si>
  <si>
    <t>INVERSIONES SILVA &amp; ASOCIADOS S.A.S</t>
  </si>
  <si>
    <t>https://community.secop.gov.co/Public/Tendering/ContractNoticePhases/View?PPI=CO1.PPI.41316518&amp;isFromPublicArea=True&amp;isModal=False</t>
  </si>
  <si>
    <t>300-2025-0033</t>
  </si>
  <si>
    <t>prestar el servicio de realizar la actividad de lanzamiento del plan mutuamente 2025 para los aliados de La Previsora s.a. sucursal Yopal.</t>
  </si>
  <si>
    <t>https://community.secop.gov.co/Public/Tendering/OpportunityDetail/Index?noticeUID=CO1.NTC.8140120&amp;isFromPublicArea=True&amp;isModal=False</t>
  </si>
  <si>
    <t>300-2025-0034</t>
  </si>
  <si>
    <t>Prestar el servicio de evento de lanzamiento mutuamente sucursal Arauca.</t>
  </si>
  <si>
    <t xml:space="preserve">https://community.secop.gov.co/Public/Tendering/ContractNoticePhases/View?PPI=CO1.PPI.40012053&amp;isFromPublicArea=True&amp;isModal=False </t>
  </si>
  <si>
    <t>300-2025-0035</t>
  </si>
  <si>
    <t>Entrega en arrendamiento comercial a el arrendatario el uso y goce del inmueble ubicado en la Carrera 2 N° 24-14 Oficina 204 Edificio Granahorrar de la ciudad de Quibdó - Chocó.</t>
  </si>
  <si>
    <t>DERECHO Y RAZON ASOCIADOS S.A.S</t>
  </si>
  <si>
    <t>https://community.secop.gov.co/Public/Tendering/ContractNoticePhases/View?PPI=CO1.PPI.41315894&amp;isFromPublicArea=True&amp;isModal=False</t>
  </si>
  <si>
    <t>300-2025-0036</t>
  </si>
  <si>
    <t>Servicio de reparación y mantenimiento de vidrios conforme a propuesta presentada.</t>
  </si>
  <si>
    <t>JAIME NELSON BOTINA BARRERA</t>
  </si>
  <si>
    <t>https://community.secop.gov.co/Public/Tendering/ContractNoticePhases/View?PPI=CO1.PPI.42714052&amp;…</t>
  </si>
  <si>
    <t>300-2025-0037</t>
  </si>
  <si>
    <t>Prestación servicio de comedor para cena de 20 personas, fin realizar lanzamiento
mutuamente 2025, el día 26 de marzo del 2025.</t>
  </si>
  <si>
    <t>CAJA DE COMPENSACION FAMILIAR DE LA GUAJIRA</t>
  </si>
  <si>
    <t>100%%</t>
  </si>
  <si>
    <t>https://community.secop.gov.co/Public/Tendering/ContractNoticePhases/View?PPI=CO1.PPI.41321804&amp;isFromPublicArea=True&amp;isModal=False</t>
  </si>
  <si>
    <t>300-2025-0038</t>
  </si>
  <si>
    <t>Adquisición de una nevera.</t>
  </si>
  <si>
    <t>COLOMBIANA DE COMERCIO S.A. Y/O ALKOSTO S.A.</t>
  </si>
  <si>
    <t>https://community.secop.gov.co/Public/Tendering/OpportunityDetail/Index?noticeUID=CO1.NTC.8139969&amp;isFromPublicArea=True&amp;isModal=False</t>
  </si>
  <si>
    <t>300-2025-0039</t>
  </si>
  <si>
    <t>Prestar el servicio de operador logístico para garantizar el desarrollo del evento lanzamiento
Mutuamente agentes y agencias 2025.</t>
  </si>
  <si>
    <t>https://community.secop.gov.co/Public/Tendering/OpportunityDetail/Index?noticeUID=CO1.NTC.8139739&amp;isFromPublicArea=True&amp;isModal=False</t>
  </si>
  <si>
    <t>300-2025-0040</t>
  </si>
  <si>
    <t>Contrar los servicios de organización y ejecución de evento empresarial actividad de Lanzamiento de plan de incentivos mutuamente año 2025 para 70 personas.</t>
  </si>
  <si>
    <t>BASHIR S.A.S.</t>
  </si>
  <si>
    <t>https://community.secop.gov.co/Public/Tendering/OpportunityDetail/Index?noticeUID=CO1.NTC.8140551&amp;isFromPublicArea=True&amp;isModal=False</t>
  </si>
  <si>
    <t>300-2025-0041</t>
  </si>
  <si>
    <t>Contratar el servicio de restaurante para el lanzamiento mutuamente 2025 agentes y agencias Pereira.</t>
  </si>
  <si>
    <t>GRUPO INVERSIONES MONTOYA S.A.S</t>
  </si>
  <si>
    <t>https://community.secop.gov.co/Public/Tendering/OpportunityDetail/Index?noticeUID=CO1.NTC.8140252&amp;isFromPublicArea=True&amp;isModal=False</t>
  </si>
  <si>
    <t>300-2025-0042</t>
  </si>
  <si>
    <t xml:space="preserve">Prestar el servicio de logística, organización y alimentación para actividad de lanzamiento mutuamente 2025 para los agentes y agencias de la sucursal Medellin. </t>
  </si>
  <si>
    <t>VALERIA DIAZ ASTAIZA</t>
  </si>
  <si>
    <t>https://community.secop.gov.co/Public/Tendering/OpportunityDetail/Index?noticeUID=CO1.NTC.8140861&amp;isFromPublicArea=True&amp;isModal=False</t>
  </si>
  <si>
    <t>300-2025-0043</t>
  </si>
  <si>
    <t>Servicios para la organización y ejecución del Evento denominado: Lanzamiento plan de intermediarios 2025 dirigido a los aliados estratégicos de La Previsora S.A. Sucursal Manizales.</t>
  </si>
  <si>
    <t>EL EFECTO BARBACOA SAS</t>
  </si>
  <si>
    <t>https://community.secop.gov.co/Public/Tendering/OpportunityDetail/Index?noticeUID=CO1.NTC.8139894&amp;isFromPublicArea=True&amp;isModal=False</t>
  </si>
  <si>
    <t>300-2025-0044</t>
  </si>
  <si>
    <t>Prestar el servicio de realizar el evento lanzamiento Mutuamente 2025 agentes y agencias suursal Cucuta.</t>
  </si>
  <si>
    <t>ORGANIZACION EPICCO S.A.S</t>
  </si>
  <si>
    <t>https://community.secop.gov.co/Public/Tendering/OpportunityDetail/Index?noticeUID=CO1.NTC.8141506&amp;isFromPublicArea=True&amp;isModal=False</t>
  </si>
  <si>
    <t>300-2025-0045</t>
  </si>
  <si>
    <t>Mantenimiento preventivo y correctivo de 7 unidades de aire acondicionado.</t>
  </si>
  <si>
    <t>ECOCLIMA S. A. S</t>
  </si>
  <si>
    <t>https://community.secop.gov.co/Public/Tendering/ContractNoticePhases/View?PPI=CO1.PPI.41325124&amp;isFromPublicArea=True&amp;isModal=False</t>
  </si>
  <si>
    <t>300-2025-0046</t>
  </si>
  <si>
    <t>Prestar los servicios de un salón para un grupo de 42 personas, evento que tiene como objeto el Lanzamiento mutuamente año 2025, con agentes y agencias de La Previsora S.A. Sucursal Ibagué.</t>
  </si>
  <si>
    <t>ORLANDO ANDRES DURAN TAFUR</t>
  </si>
  <si>
    <t>https://community.secop.gov.co/Public/Tendering/OpportunityDetail/Index?noticeUID=CO1.NTC.8144004&amp;isFromPublicArea=True&amp;isModal=False</t>
  </si>
  <si>
    <t>300-2025-0047</t>
  </si>
  <si>
    <t>Prestar el servicio de mantenimiento preventivo de la oficina (aires acondicionados, planta eléctrica, muebles y enseres, etc), pintura de las instalaciones y los elementos de trabajo de los funcionarios de la Sucursal.</t>
  </si>
  <si>
    <t>_ADECUACION E INSTALACION DE OFICINA
_MANTENIMIENTO Y REPARACIONES ADMINISTRATIVAS</t>
  </si>
  <si>
    <t xml:space="preserve">https://community.secop.gov.co/Public/Tendering/ContractNoticePhases/View?PPI=CO1.PPI.40013569&amp;isFromPublicArea=True&amp;isModal=False </t>
  </si>
  <si>
    <t>300-2025-0048</t>
  </si>
  <si>
    <t>Prestar el servicio de salón y apoyo logístico para evento empresarial y servicio a la mesa con un show de la gastronomía turca para el
lanzamiento mutuamente agentes y agencias 2025.</t>
  </si>
  <si>
    <t>https://community.secop.gov.co/Public/Tendering/ContractNoticePhases/View?PPI=CO1.PPI.39493729&amp;isFromPublicArea=True&amp;isModal=False</t>
  </si>
  <si>
    <t>300-2025-0049</t>
  </si>
  <si>
    <t>Prestar el servicio de evento lanzamiento plan de incentivos Mutuamente 2025 para aliados de Previsora Cartagena.</t>
  </si>
  <si>
    <t>INVERSIONES M S.A.S</t>
  </si>
  <si>
    <t>https://community.secop.gov.co/Public/Tendering/OpportunityDetail/Index?noticeUID=CO1.NTC.8140757&amp;isFromPublicArea=True&amp;isModal=False</t>
  </si>
  <si>
    <t>300-2025-0050</t>
  </si>
  <si>
    <t>Servicio de alquiler de salon de eventos para catering con microfono, video beam, sonido, almuerzo y ambientación musical.</t>
  </si>
  <si>
    <t>Finalizado</t>
  </si>
  <si>
    <t>https://community.secop.gov.co/Public/Tendering/ContractNoticePhases/View?PPI=CO1.PPI.41322672&amp;isFromPublicArea=True&amp;isModal=False</t>
  </si>
  <si>
    <t>300-2025-0051</t>
  </si>
  <si>
    <t>Prestar el servicio evento lanzamiento mutuamente 2025 agentes y agencias.</t>
  </si>
  <si>
    <t>https://community.secop.gov.co/Public/Tendering/ContractNoticePhases/View?PPI=CO1.PPI.41321893&amp;isFromPublicArea=True&amp;isModal=False</t>
  </si>
  <si>
    <t>300-2025-0052</t>
  </si>
  <si>
    <t>Prestar los servicios de apoyo logístico para desarrollar el Lanzamiento Mutuamente 2025 para Agentes y Agencias.</t>
  </si>
  <si>
    <t>https://community.secop.gov.co/Public/Tendering/ContractNoticePhases/View?PPI=CO1.PPI.39490944&amp;isFromPublicArea=True&amp;isModal=False</t>
  </si>
  <si>
    <t>300-2025-0053</t>
  </si>
  <si>
    <t xml:space="preserve">Servicios de restaurante para 35 personas, incluido el salón, servicio de meseros, ayudas audiovisuales (video bean), sonido y ambientación musical. </t>
  </si>
  <si>
    <t>MARIA NELLY CALUME PRETELT</t>
  </si>
  <si>
    <t>https://community.secop.gov.co/Public/Tendering/ContractNoticePhases/View?PPI=CO1.PPI.41323382&amp;isFromPublicArea=True&amp;isModal=False</t>
  </si>
  <si>
    <t>300-2025-0054</t>
  </si>
  <si>
    <t>Compra e Instalación de Aire Acondicionado tipo mini Split de
12.000 220V R410A INVERTER marca BLUELINE, para la oficina de subgerencia.</t>
  </si>
  <si>
    <t>https://community.secop.gov.co/Public/Tendering/OpportunityDetail/Index?noticeUID=CO1.NTC.8147274&amp;isFromPublicArea=True&amp;isModal=False</t>
  </si>
  <si>
    <t>300-2025-0055</t>
  </si>
  <si>
    <t>Arrendamiento de parqueadero para los funcionarios de la sucursal.</t>
  </si>
  <si>
    <t>G5 ENGINEERING SAS</t>
  </si>
  <si>
    <t>https://community.secop.gov.co/Public/Tendering/ContractNoticePhases/View?PPI=CO1.PPI.41327300&amp;isFromPublicArea=True&amp;isModal=False</t>
  </si>
  <si>
    <t>300-2025-0056</t>
  </si>
  <si>
    <t>Servicio de restaurante para el lanzamiento de mutuamente 2025 agentes y agencias de la sucursal Sincelejo.</t>
  </si>
  <si>
    <t>LINA PAOLA NASSER GAVIRIA</t>
  </si>
  <si>
    <t>https://community.secop.gov.co/Public/Tendering/ContractNoticePhases/View?PPI=CO1.PPI.41327630&amp;isFromPublicArea=True&amp;isModal=False</t>
  </si>
  <si>
    <t>300-2025-0057</t>
  </si>
  <si>
    <t>Mantenimiento de aires acondicionados y tres extractores de baño de la sucursal de Manizales.</t>
  </si>
  <si>
    <t>ESPECIALISTAS EN MANTENIMIENTO Y AUTOMATIZACION E.M.A INGENIERIA S.A.S</t>
  </si>
  <si>
    <t>https://community.secop.gov.co/Public/Tendering/ContractNoticePhases/View?PPI=CO1.PPI.41328039&amp;isFromPublicArea=True&amp;isModal=False</t>
  </si>
  <si>
    <t>300-2025-0058</t>
  </si>
  <si>
    <t>Suministro e instalación de sistema de aire acondicionado para el complemento de climatización de oficinas área abierta
en las oficinas en el edificio torre Bolívar Pereira.</t>
  </si>
  <si>
    <t>AIREFRITERMICA S.A.S</t>
  </si>
  <si>
    <t>https://community.secop.gov.co/Public/Tendering/OpportunityDetail/Index?noticeUID=CO1.NTC.8461547&amp;isFromPublicArea=True&amp;isModal=False</t>
  </si>
  <si>
    <t>300-2025-0059</t>
  </si>
  <si>
    <t>servicio de 2 mantenimientos preventivos y correctivos de la Planta Eléctrica
de la Sucursal, incluido los insumos utilizados.</t>
  </si>
  <si>
    <t>https://community.secop.gov.co/Public/Tendering/OpportunityDetail/Index?noticeUID=CO1.NTC.8470048&amp;isFromPublicArea=True&amp;isModal=False</t>
  </si>
  <si>
    <t>300-2025-0060</t>
  </si>
  <si>
    <t>Suministro e instalación de una maquina completa de aire acondicionado para la sucursal medellin en el cuarto tecnico.</t>
  </si>
  <si>
    <t>COMERCIAL Y SERVICIOS LARCO S. A.S</t>
  </si>
  <si>
    <t>https://community.secop.gov.co/Public/Tendering/OpportunityDetail/Index?noticeUID=CO1.NTC.8469777&amp;isFromPublicArea=True&amp;isModal=False</t>
  </si>
  <si>
    <t>300-2025-0061</t>
  </si>
  <si>
    <t xml:space="preserve">Rrealizar los trabajos de adecuación y obra civil para la instalación de aire acondicionado para el cuarto tecnico de la sucursal Medellin. </t>
  </si>
  <si>
    <t>https://community.secop.gov.co/Public/Tendering/OpportunityDetail/Index?noticeUID=CO1.NTC.8470516&amp;isFromPublicArea=True&amp;isModal=False</t>
  </si>
  <si>
    <t>300-2025-0062</t>
  </si>
  <si>
    <t xml:space="preserve">Contratar el mantenimiento preventivo y correctivo de los aires acondicionados de la sucursal. </t>
  </si>
  <si>
    <t>EQUIPOS ESPECIALES DE REFRIGERACION LTDA.</t>
  </si>
  <si>
    <t>https://community.secop.gov.co/Public/Tendering/OpportunityDetail/Index?noticeUID=CO1.NTC.8470560&amp;isFromPublicArea=True&amp;isModal=False</t>
  </si>
  <si>
    <t>300-2025-0063</t>
  </si>
  <si>
    <t>Mantenimiento preventivo y/o correctivo de los aires acondicionados de la sucursal.</t>
  </si>
  <si>
    <t>https://community.secop.gov.co/Public/Tendering/OpportunityDetail/Index?noticeUID=CO1.NTC.8471821&amp;isFromPublicArea=True&amp;isModal=False</t>
  </si>
  <si>
    <t>300-2025-0064</t>
  </si>
  <si>
    <t xml:space="preserve">Realización del evento lanzamiento mutuamente 2025. </t>
  </si>
  <si>
    <t>https://community.secop.gov.co/Public/Tendering/ContractNoticePhases/View?PPI=CO1.PPI.41325863&amp;isFromPublicArea=True&amp;isModal=False</t>
  </si>
  <si>
    <t>300-2025-0065</t>
  </si>
  <si>
    <t>Suministro e instalación de un televisor marca Samsung d e 55 pulgadas para la sucursal Yopal.</t>
  </si>
  <si>
    <t>https://community.secop.gov.co/Public/Tendering/OpportunityDetail/Index?noticeUID=CO1.NTC.8472632&amp;isFromPublicArea=True&amp;isModal=False</t>
  </si>
  <si>
    <t>300-2025-0066</t>
  </si>
  <si>
    <t>Realizar el cambio de dos avisos publicitarios de la sucursal Yopal.</t>
  </si>
  <si>
    <t>https://community.secop.gov.co/Public/Tendering/ContractNoticePhases/View?PPI=CO1.PPI.40913169&amp;isFromPublicArea=True&amp;isModal=False
https://community.secop.gov.co/Public/Tendering/OpportunityDetail/Index?noticeUID=CO1.NTC.8472811&amp;a…</t>
  </si>
  <si>
    <t>300-2025-0067</t>
  </si>
  <si>
    <t xml:space="preserve">Suministro e instalación de la sub acometida eléctrica parcial del local
de la previsora Sucursal Florencia. </t>
  </si>
  <si>
    <t>https://community.secop.gov.co/Public/Tendering/OpportunityDetail/Index?noticeUID=CO1.NTC.8472513&amp;isFromPublicArea=True&amp;isModal=False</t>
  </si>
  <si>
    <t>300-2025-0068</t>
  </si>
  <si>
    <t>Suministro e instalación de un aviso publicitario luminoso, el cual incluye dos retablos, pelicula vinílica digitalizada, señelitica informativa y de seguridad.</t>
  </si>
  <si>
    <t>LOGOGRAF GROUP S.A.</t>
  </si>
  <si>
    <t>https://community.secop.gov.co/Public/Tendering/ContractNoticePhases/View?PPI=CO1.PPI.42100225&amp;…</t>
  </si>
  <si>
    <t>300-2025-0069</t>
  </si>
  <si>
    <t>Suministro de vajilla, maquina dispensadora de café, proyector LED,  telon pantalla y trípode.</t>
  </si>
  <si>
    <t>ELEMENTOS VARIOS
FUNGIBLES
INV. ADQUISICIÓN ACTIVOS
FIJOS</t>
  </si>
  <si>
    <t>https://community.secop.gov.co/Public/Tendering/OpportunityDetail/Index?noticeUID=CO1.NTC.8476792&amp;isFromPublicArea=True&amp;isModal=False</t>
  </si>
  <si>
    <t>300-2025-0070</t>
  </si>
  <si>
    <t>Suministrar una nevera de 249
Lts y un Televisor 65” para las oficinas de la sucursal Sincelejo.</t>
  </si>
  <si>
    <t>PEDRO JOSE GARZON MONROY</t>
  </si>
  <si>
    <t>https://community.secop.gov.co/Public/Tendering/OpportunityDetail/Index?noticeUID=CO1.NTC.8472798&amp;isFromPublicArea=True&amp;isModal=False</t>
  </si>
  <si>
    <t>300-2025-0071</t>
  </si>
  <si>
    <t xml:space="preserve">Suministro e instalación de tres televisores y un juego de persinas enrollables con blackout.  </t>
  </si>
  <si>
    <t>_ELEMENTOS VARIOS
FUNGIBLES
_INV. ADQUISICIÓN ACTIVOS
FIJOS</t>
  </si>
  <si>
    <t>https://community.secop.gov.co/Public/Tendering/ContractNoticePhases/View?PPI=CO1.PPI.42101403&amp;…</t>
  </si>
  <si>
    <t>300-2025-0072</t>
  </si>
  <si>
    <t xml:space="preserve">servicio de alimentación y atención a los intermediarios de la sucursal, durante la actividad de Mutuamente 2025  </t>
  </si>
  <si>
    <t>https://community.secop.gov.co/Public/Tendering/OpportunityDetail/Index?noticeUID=CO1.NTC.8480836&amp;isFromPublicArea=True&amp;isModal=False</t>
  </si>
  <si>
    <t>300-2025-0073</t>
  </si>
  <si>
    <t>Suministro de 4 sillas para la sucursal.</t>
  </si>
  <si>
    <t>JUAN CARLOS ESPINAL PACHECO</t>
  </si>
  <si>
    <t>https://community.secop.gov.co/Public/Tendering/OpportunityDetail/Index?noticeUID=CO1.NTC.8482375&amp;isFromPublicArea=True&amp;isModal=False</t>
  </si>
  <si>
    <t>300-2025-0074</t>
  </si>
  <si>
    <t>mantenimiento preventivo y/o correctivo de los aires acondicionados de la sucursal.</t>
  </si>
  <si>
    <t>https://community.secop.gov.co/Public/Tendering/OpportunityDetail/Index?noticeUID=CO1.NTC.8482842&amp;isFromPublicArea=True&amp;isModal=False</t>
  </si>
  <si>
    <t>300-2025-0075</t>
  </si>
  <si>
    <t>mantenimiento preventivo de los aires acondicionados.</t>
  </si>
  <si>
    <t>OPTIAIR S.A.S.</t>
  </si>
  <si>
    <t>https://community.secop.gov.co/Public/Tendering/OpportunityDetail/Index?noticeUID=CO1.NTC.8483050&amp;isFromPublicArea=True&amp;isModal=False</t>
  </si>
  <si>
    <t>300-2025-0076</t>
  </si>
  <si>
    <t>Prestar el servicio de impresión de los carnets estudiantiles de las pólizas de accidentes personales emitidas por
la Sucursal Montería.</t>
  </si>
  <si>
    <t>https://community.secop.gov.co/Public/Tendering/ContractNoticePhases/View?PPI=CO1.PPI.41315094&amp;isFromPublicArea=True&amp;isModal=False</t>
  </si>
  <si>
    <t>300-2025-0077</t>
  </si>
  <si>
    <t>Suministrar e instalar un extintor en las oficias de la sucursal.</t>
  </si>
  <si>
    <t>PROTECCION INTEGRAL DEL TOLIMA S.A.S</t>
  </si>
  <si>
    <t>https://www.secop.gov.co/CO1BusinessLine/Tendering/ProcedureEdit/View?docUniqueIdentifier=CO1.REQ.8614892&amp;prevCtxUrl=https%3a%2f%2fwww.secop.gov.co%2fCO1BusinessLine%2fTendering%2fBuyerDossierWorkspace%2fIndex%3fcreateDateFrom%3d23%2f01%2f2025+20%3a12%3a01%26createDateTo%3d23%2f07%2f2025+20%3a12%3a01%26filteringState%3d1%26sortingState%3dLastModifiedDESC%26showAdvancedSearch%3dFalse%26showAdvancedSearchFields%3dFalse%26folderCode%3dALL%26selectedDossier%3dCO1.BDOS.8462516%26selectedRequest%3dCO1.REQ.8614892%26&amp;prevCtxLbl=Procesos+de+la+Entidad+Estatal</t>
  </si>
  <si>
    <t>300-2025-0078</t>
  </si>
  <si>
    <t>Mantenimiento y reparación a equipo de planta eléctrica en la Sucursal Cartagena.</t>
  </si>
  <si>
    <t>https://community.secop.gov.co/Public/Tendering/ContractNoticePhases/View?PPI=CO1.PPI.41315849&amp;isFromPublicArea=True&amp;isModal=False</t>
  </si>
  <si>
    <t>300-2025-0079</t>
  </si>
  <si>
    <t>Prestar el servicio de mantenimiento a equipos de aire acondicionado en la Sucursal Cartagena.</t>
  </si>
  <si>
    <t>INGENIERÍA, PROYECTOS Y DISEÑOS S.A.S</t>
  </si>
  <si>
    <t>https://community.secop.gov.co/Public/Tendering/ContractNoticePhases/View?PPI=CO1.PPI.41315861&amp;isFromPublicArea=True&amp;isModal=False</t>
  </si>
  <si>
    <t>300-2025-0080</t>
  </si>
  <si>
    <t>Servicio de Alquiler de Fotocopiadora para la sucursal de Bucaramanga.</t>
  </si>
  <si>
    <t>JAIRO OSORIO CABALLERO</t>
  </si>
  <si>
    <t>https://community.secop.gov.co/Public/Tendering/ContractNoticePhases/View?PPI=CO1.PPI.41315100&amp;isFromPublicArea=True&amp;isModal=False</t>
  </si>
  <si>
    <t>300-2025-0081</t>
  </si>
  <si>
    <t>Prestar el servicio de mantenimiento correctivo y preventivo del aire acondicionado del Rack de la sucursal.</t>
  </si>
  <si>
    <t>SILVIO ANDRES ORTIZ MUÑOZ</t>
  </si>
  <si>
    <t>https://community.secop.gov.co/Public/Tendering/ContractNoticePhases/View?PPI=CO1.PPI.41325689&amp;isFromPublicArea=True&amp;isModal=False</t>
  </si>
  <si>
    <t>300-2025-0082</t>
  </si>
  <si>
    <t>Adquisición de 4 sillas para la sucursal</t>
  </si>
  <si>
    <t>https://community.secop.gov.co/Public/Tendering/ContractNoticePhases/View?PPI=CO1.PPI.41315864&amp;isFromPublicArea=True&amp;isModal=False</t>
  </si>
  <si>
    <t>300-2025-0083</t>
  </si>
  <si>
    <t>Cambio del aviso de las instalaciones de la sucursal Villavicencio.</t>
  </si>
  <si>
    <t>CARLOS ALBERTO MALAVER BEJARANO</t>
  </si>
  <si>
    <t>https://community.secop.gov.co/Public/Tendering/ContractNoticePhases/View?PPI=CO1.PPI.41319467&amp;isFromPublicArea=True&amp;isModal=False</t>
  </si>
  <si>
    <t>300-2025-0084</t>
  </si>
  <si>
    <t>Suministro e instalación de extractores para los baños de la sucursal.</t>
  </si>
  <si>
    <t>https://community.secop.gov.co/Public/Tendering/ContractNoticePhases/View?PPI=CO1.PPI.41320124&amp;isFromPublicArea=True&amp;isModal=False</t>
  </si>
  <si>
    <t>300-2025-0085</t>
  </si>
  <si>
    <t>Mantenimiento preventivo, desincruste de serpentines y refuerzo de gas refrigerante de los aires acondicionados de la sucursal.</t>
  </si>
  <si>
    <t>https://community.secop.gov.co/Public/Tendering/ContractNoticePhases/View?PPI=CO1.PPI.41320503&amp;isFromPublicArea=True&amp;isModal=False</t>
  </si>
  <si>
    <t>300-2025-0086</t>
  </si>
  <si>
    <t>Recarga y mantenimiento de los extintores de la sucursal.</t>
  </si>
  <si>
    <t>https://community.secop.gov.co/Public/Tendering/ContractNoticePhases/View?PPI=CO1.PPI.41326021&amp;isFromPublicArea=True&amp;isModal=False</t>
  </si>
  <si>
    <t>300-2025-0087</t>
  </si>
  <si>
    <t>Prestar servicios en la reubicación de puntos de red, suministro e instalación jack sencillo categoría 6, instalación
identificación y marcado de puntos de red nuevos, limpieza general del rack y certificación de los puntos de red nuevos.</t>
  </si>
  <si>
    <t>SOCIEDAD INGENIEROS ELECTRICOS Y DE REDES S.AS</t>
  </si>
  <si>
    <t>https://community.secop.gov.co/Public/Tendering/ContractNoticePhases/View?PPI=CO1.PPI.41320961&amp;isFromPublicArea=True&amp;isModal=False</t>
  </si>
  <si>
    <t>300-2025-0088</t>
  </si>
  <si>
    <t>Cambio de aviso de la sucursal, teniendo en cuenta la linea grafica de la compañía.</t>
  </si>
  <si>
    <t>DORIAN ISRAEL CEBALLOS OJEDA</t>
  </si>
  <si>
    <t xml:space="preserve">https://community.secop.gov.co/Public/Tendering/ContractNoticePhases/View?PPI=CO1.PPI.41322528&amp;isFromPublicArea=True&amp;isModal=False
https://community.secop.gov.co/Public/Tendering/ContractNoticePhases/View?PPI=CO1.PPI.41322528&amp;…
</t>
  </si>
  <si>
    <t>300-2025-0089</t>
  </si>
  <si>
    <t xml:space="preserve">Suministro e instalación de un juego de persinas enrollables blackout y persianas doble función. </t>
  </si>
  <si>
    <t>https://community.secop.gov.co/Public/Tendering/ContractNoticePhases/View?PPI=CO1.PPI.42102888&amp;…</t>
  </si>
  <si>
    <t>300-2025-0090</t>
  </si>
  <si>
    <t xml:space="preserve">Realizar adecuaciones, fumigación y mantenimiento general sede Arauca. </t>
  </si>
  <si>
    <t>DELCY MARIA ORDOÑEZ ALVAREZ</t>
  </si>
  <si>
    <t>ADECUACION E INSTALACION
DE OFICINA
/ASEO Y CAFETERIA/ 
MANTENIMIENTO Y
REPARACIONES
ADMINISTRATIVAS</t>
  </si>
  <si>
    <t>https://community.secop.gov.co/Public/Tendering/ContractNoticePhases/View?PPI=CO1.PPI.41322582&amp;isFromPublicArea=True&amp;isModal=False</t>
  </si>
  <si>
    <t>300-2025-0091</t>
  </si>
  <si>
    <t>Desmonte, limpieza, corrección, mantenimiento, cambio de lices, impresión e instalción del aviso de la sucursal</t>
  </si>
  <si>
    <t>https://community.secop.gov.co/Public/Tendering/ContractNoticePhases/View?PPI=CO1.PPI.41323297&amp;isFromPublicArea=True&amp;isModal=False</t>
  </si>
  <si>
    <t>300-2025-0092</t>
  </si>
  <si>
    <t>Adquisición de un equipo de video conferencias con su correspondiente instalación y adecuación en la sala de capacitación
de la Sucursal Centro Empresarial Corporativo.</t>
  </si>
  <si>
    <t>INTEGRACION AV S.A.S</t>
  </si>
  <si>
    <t>https://community.secop.gov.co/Public/Tendering/ContractNoticePhases/View?PPI=CO1.PPI.41323779&amp;isFromPublicArea=True&amp;isModal=False</t>
  </si>
  <si>
    <t>300-2025-0093</t>
  </si>
  <si>
    <t>Realizar evento dia de la familia para los funcionarios de la sucursal.</t>
  </si>
  <si>
    <t xml:space="preserve">ANDRES OCANDO COLINA TORRES </t>
  </si>
  <si>
    <t>https://community.secop.gov.co/Public/Tendering/ContractNoticePhases/View?PPI=CO1.PPI.41324352&amp;isFromPublicArea=True&amp;isModal=False</t>
  </si>
  <si>
    <t>300-2025-0094</t>
  </si>
  <si>
    <t>Mantenimiento de aire acondicionado y luminarias de la sucursal.</t>
  </si>
  <si>
    <t>https://community.secop.gov.co/Public/Tendering/OpportunityDetail/Index?noticeUID=CO1.NTC.8762575&amp;a…</t>
  </si>
  <si>
    <t>300-2025-0095</t>
  </si>
  <si>
    <t xml:space="preserve"> Realizar mantenimiento correctivo al rack de la sucursal Pereira,  por goteo permanente de la tuberia.</t>
  </si>
  <si>
    <t>https://community.secop.gov.co/Public/Tendering/ContractNoticePhases/View?PPI=CO1.PPI.41324903&amp;isFromPublicArea=True&amp;isModal=False</t>
  </si>
  <si>
    <t>300-2025-0096</t>
  </si>
  <si>
    <t>Cambio del aviso de la sucursal Manizales de acuerdo con la nueva imagen corporativa de la compañía.</t>
  </si>
  <si>
    <t>PRINT HOUSE PUBLICIDAD S.A.S.</t>
  </si>
  <si>
    <t>https://community.secop.gov.co/Public/Tendering/ContractNoticePhases/View?PPI=CO1.PPI.41913728&amp;isFromPublicArea=True&amp;isModal=False</t>
  </si>
  <si>
    <t>300-2025-0097</t>
  </si>
  <si>
    <t>Cambio de los avisos de la sucursal Pereira, correspondiente a microperforado en acrílico negro y aviso en vidrio con sistema luminoso.</t>
  </si>
  <si>
    <t>SOLUCIONES GRAFIKAS S.A.S.</t>
  </si>
  <si>
    <t>https://community.secop.gov.co/Public/Tendering/ContractNoticePhases/View?PPI=CO1.PPI.41325634&amp;…</t>
  </si>
  <si>
    <t>300-2025-0098</t>
  </si>
  <si>
    <t>Pintura de cielo raso y fachada de la sucursal.</t>
  </si>
  <si>
    <t>https://community.secop.gov.co/Public/Tendering/OpportunityDetail/Index?noticeUID=CO1.NTC.8763149&amp;a…</t>
  </si>
  <si>
    <t>300-2025-0099</t>
  </si>
  <si>
    <t>Suministro de 3 butacos y una nevera conforme a cotización.</t>
  </si>
  <si>
    <t>300-2025-0101</t>
  </si>
  <si>
    <t>Prestar el servicio de Realizar actividad del día de la familia para los funcionarios de La Previsora S.A. Sucursal Yopal.</t>
  </si>
  <si>
    <t>https://community.secop.gov.co/Public/Tendering/ContractNoticePhases/View?PPI=CO1.PPI.41834055&amp;…</t>
  </si>
  <si>
    <t>300-2025-0102</t>
  </si>
  <si>
    <t>Prestar servicios recreativos, logísticos y de alimentación para la celebración del Día de la Familia.</t>
  </si>
  <si>
    <t>CAJA DE COMPENSACION FAMILIAR DEL NORTE DE SANTANDER</t>
  </si>
  <si>
    <t>https://community.secop.gov.co/Public/Tendering/ContractNoticePhases/View?PPI=CO1.PPI.42113573&amp;…</t>
  </si>
  <si>
    <t>300-2025-0103</t>
  </si>
  <si>
    <t>Celebración día de la familia con almuerzo y refrigerio en la playa.</t>
  </si>
  <si>
    <t>TU GUIA DE VIAJES SAS</t>
  </si>
  <si>
    <t>https://community.secop.gov.co/Public/Tendering/ContractNoticePhases/View?PPI=CO1.PPI.42114411&amp;…</t>
  </si>
  <si>
    <t>300-2025-0104</t>
  </si>
  <si>
    <t xml:space="preserve">Prestación de servicios para la organización y ejecución del evento denominado dia de la familia dirigido a los funcionarios de La Previsora </t>
  </si>
  <si>
    <t>FONDO DE EMPLEADOS UNIVERSIDAD DE CALDAS. SIGLA FONCALDAS</t>
  </si>
  <si>
    <t>https://community.secop.gov.co/Public/Tendering/ContractNoticePhases/View?PPI=CO1.PPI.42007042&amp;…</t>
  </si>
  <si>
    <t>300-2025-0105</t>
  </si>
  <si>
    <t>Realizar cambio de estructura para el aviso de la sucursal.</t>
  </si>
  <si>
    <t>https://community.secop.gov.co/Public/Tendering/ContractNoticePhases/View?PPI=CO1.PPI.42011524&amp;…</t>
  </si>
  <si>
    <t>300-2025-0106</t>
  </si>
  <si>
    <t>Compra de televisor y video proyector para la sucursal</t>
  </si>
  <si>
    <t xml:space="preserve"> LA PIPA COMERCIALIZADORA S.A.S.</t>
  </si>
  <si>
    <t>https://community.secop.gov.co/Public/Tendering/ContractNoticePhases/View?PPI=CO1.PPI.42492862&amp;…</t>
  </si>
  <si>
    <t>300-2025-0107</t>
  </si>
  <si>
    <t>Prestar servicios de alimentación e ingreso de los funcionarios de LA PREVISORA al centro de recreación denominada Mawa.</t>
  </si>
  <si>
    <t>MAXIMIZA S.A.S.</t>
  </si>
  <si>
    <t>https://community.secop.gov.co/Public/Tendering/ContractNoticePhases/View?PPI=CO1.PPI.42012508&amp;…</t>
  </si>
  <si>
    <t>300-2025-0108</t>
  </si>
  <si>
    <t>Celebración día de la familia para los funcionarios de la sucursal.</t>
  </si>
  <si>
    <t>YUDY ALEJANDRA RENDON CADAVID</t>
  </si>
  <si>
    <t>https://community.secop.gov.co/Public/Tendering/ContractNoticePhases/View?PPI=CO1.PPI.42495911&amp;…</t>
  </si>
  <si>
    <t>300-2025-0109</t>
  </si>
  <si>
    <t>Prestar los servicios para realización de actividad de bienestar dia de la familia para la sucursal.</t>
  </si>
  <si>
    <t>FUNDACION PARQUE DE LA CULTURA CAFETERA</t>
  </si>
  <si>
    <t>https://community.secop.gov.co/Public/Tendering/ContractNoticePhases/View?PPI=CO1.PPI.42019629&amp;…</t>
  </si>
  <si>
    <t>300-2025-0110</t>
  </si>
  <si>
    <t>Prestación de servicio de comedor para 11 almuerzos el día 25 de julio para los Funcionarios de LA PREVIOSORA S.A., con el fin de celebrar el día de la Familia en la Sucursal Riohacha.</t>
  </si>
  <si>
    <t>https://community.secop.gov.co/Public/Tendering/ContractNoticePhases/View?PPI=CO1.PPI.41845500&amp;isFromPublicArea=True&amp;isModal=False</t>
  </si>
  <si>
    <t>300-2025-0111</t>
  </si>
  <si>
    <t>Prestar el servicio de pasadia para la celebración del día de la familia.</t>
  </si>
  <si>
    <t>CARMEN VIVIANA AREVALO PEREZ</t>
  </si>
  <si>
    <t>https://community.secop.gov.co/Public/Tendering/ContractNoticePhases/View?PPI=CO1.PPI.42106642&amp;…</t>
  </si>
  <si>
    <t>300-2025-0112</t>
  </si>
  <si>
    <t>Prestación de servicios de restaurante para el Día de la Familia y Aniversario de la Previsora para la
sucursal sincelejo.</t>
  </si>
  <si>
    <t>ANDRES MAURICIO DIAZ URANGO</t>
  </si>
  <si>
    <t>PROGRAMAS DE
BIENESTAR SOCIAL Y
RECREACION</t>
  </si>
  <si>
    <t>https://community.secop.gov.co/Public/Tendering/ContractNoticePhases/View?PPI=CO1.PPI.42496640&amp;…</t>
  </si>
  <si>
    <t>300-2025-0113</t>
  </si>
  <si>
    <t>Servicio cena en conmemoración al día de la familia 2025 para funcionarios de Previsora sucursal Cartagena.</t>
  </si>
  <si>
    <t xml:space="preserve">INVERSIONES M S.A.S </t>
  </si>
  <si>
    <t>https://community.secop.gov.co/Public/Tendering/ContractNoticePhases/View?PPI=CO1.PPI.41846615&amp;isFromPublicArea=True&amp;isModal=False</t>
  </si>
  <si>
    <t>300-2025-0114</t>
  </si>
  <si>
    <t>Suministro e instalación y mantenimiento del aviso luminoso.</t>
  </si>
  <si>
    <t>https://community.secop.gov.co/Public/Tendering/ContractNoticePhases/View?PPI=CO1.PPI.41848077&amp;isFromPublicArea=True&amp;isModal=False</t>
  </si>
  <si>
    <t>300-2025-0115</t>
  </si>
  <si>
    <t>Suministro de nevera para la sucursal Medellin.</t>
  </si>
  <si>
    <t>https://community.secop.gov.co/Public/Tendering/ContractNoticePhases/View?PPI=CO1.PPI.41849768&amp;isFromPublicArea=True&amp;isModal=False</t>
  </si>
  <si>
    <t>300-2025-0116</t>
  </si>
  <si>
    <t>Adquisición, instalación y mantenimiento de la planta electrica de la sucursal</t>
  </si>
  <si>
    <t>INV. ADQUISICIÓN ACTIVOS
FIJOS /MANTENIMIENTO Y
REPARACIONES
ADMINISTRATIVAS</t>
  </si>
  <si>
    <t>https://community.secop.gov.co/Public/Tendering/ContractNoticePhases/View?PPI=CO1.PPI.41850389&amp;isFromPublicArea=True&amp;isModal=False</t>
  </si>
  <si>
    <t>300-2025-0117</t>
  </si>
  <si>
    <t>Prestación de servicio para el evento del día de la familia para los funcionarios de la sucursal.</t>
  </si>
  <si>
    <t>CAJA DE COMPENSACION FAMILIAR COFREM</t>
  </si>
  <si>
    <t>https://community.secop.gov.co/Public/Tendering/ContractNoticePhases/View?PPI=CO1.PPI.42497629&amp;…</t>
  </si>
  <si>
    <t>300-2025-0118</t>
  </si>
  <si>
    <t>Prestar el serviciode salón para la celebración del día de la familia para los funcionarios de la sucursal.</t>
  </si>
  <si>
    <t>CAJA DE COMPENSACION FAMILIAR DE BOYACA COMFABOY</t>
  </si>
  <si>
    <t>https://community.secop.gov.co/Public/Tendering/ContractNoticePhases/View?PPI=CO1.PPI.41851804&amp;isFromPublicArea=True&amp;isModal=False</t>
  </si>
  <si>
    <t>300-2025-0119</t>
  </si>
  <si>
    <t>Compra de Mesa Plegable Polietileno, Sillas Polipropileno, Televisor de 55” Smart TV, Greca cafetera Industrial en acero inoxidable.</t>
  </si>
  <si>
    <t>https://community.secop.gov.co/Public/Tendering/ContractNoticePhases/View?PPI=CO1.PPI.42500335&amp;…</t>
  </si>
  <si>
    <t>300-2025-0120</t>
  </si>
  <si>
    <t>Prestación de servicio para el evento del cumpleaños de La Previsora.</t>
  </si>
  <si>
    <t>https://www.secop.gov.co/CO1BusinessLine/Tendering/BuyerWorkArea/Index?DocUniqueIdentifier=CO1.BDOS…</t>
  </si>
  <si>
    <t>300-2025-0121</t>
  </si>
  <si>
    <t>Realizar evento celebración aniversario 71 años de La Previsora.</t>
  </si>
  <si>
    <t xml:space="preserve">HOTEL GUANE INTERNACIONAL SAS </t>
  </si>
  <si>
    <t>https://community.secop.gov.co/Public/Tendering/ContractNoticePhases/View?PPI=CO1.PPI.42524311&amp;…</t>
  </si>
  <si>
    <t>300-2025-0122</t>
  </si>
  <si>
    <t>Prestación de servicio para la organización y ejecución del evento del compleaños de La Previsora.</t>
  </si>
  <si>
    <t>GRUPO INVERSIONES MONTOYA S.A.S.</t>
  </si>
  <si>
    <t>https://community.secop.gov.co/Public/Tendering/ContractNoticePhases/View?PPI=CO1.PPI.42638051&amp;…</t>
  </si>
  <si>
    <t>300-2025-0123</t>
  </si>
  <si>
    <t xml:space="preserve">Servicio de restaurante para la atención del evento de Aniversario 71 años de La Previsora. </t>
  </si>
  <si>
    <t>https://community.secop.gov.co/Public/Tendering/ContractNoticePhases/View?PPI=CO1.PPI.42524670&amp;…</t>
  </si>
  <si>
    <t>300-2025-0124</t>
  </si>
  <si>
    <t xml:space="preserve">Contratar el servicio para atender la actividad de aniversario Previsora. </t>
  </si>
  <si>
    <t>GRUPO LA AZOTEA S.A.S.</t>
  </si>
  <si>
    <t>https://community.secop.gov.co/Public/Tendering/ContractNoticePhases/View?PPI=CO1.PPI.42701559&amp;…</t>
  </si>
  <si>
    <t>300-2025-0125</t>
  </si>
  <si>
    <t>Realizar actividad aniversario # 71 Previsora Seguros.</t>
  </si>
  <si>
    <t>DIZI RESTO BAR S.A.S.</t>
  </si>
  <si>
    <t>https://community.secop.gov.co/Public/Tendering/ContractNoticePhases/View?PPI=CO1.PPI.42702957&amp;…</t>
  </si>
  <si>
    <t>300-2025-0126</t>
  </si>
  <si>
    <t>https://community.secop.gov.co/Public/Tendering/ContractNoticePhases/View?PPI=CO1.PPI.42704330&amp;…</t>
  </si>
  <si>
    <t>300-2025-0127</t>
  </si>
  <si>
    <t>Prestar el servicio para suministrar espacio, logística y alimentación para la actividad de aniversario 71 años de La Previsora.</t>
  </si>
  <si>
    <t xml:space="preserve"> GOMEZ DE MARINILLA S.A.S</t>
  </si>
  <si>
    <t>https://community.secop.gov.co/Public/Tendering/ContractNoticePhases/View?PPI=CO1.PPI.42705064&amp;…</t>
  </si>
  <si>
    <t>300-2025-0128</t>
  </si>
  <si>
    <t xml:space="preserve">Prestar los servicios de restaurante para la celebración del aniversario # 71 de La Previsora. </t>
  </si>
  <si>
    <t>VASQUEZ E HIJOS Y CIA S. EN C.S.</t>
  </si>
  <si>
    <t>https://community.secop.gov.co/Public/Tendering/ContractNoticePhases/View?PPI=CO1.PPI.42638773&amp;…</t>
  </si>
  <si>
    <t>300-2025-0129</t>
  </si>
  <si>
    <t>Prestar servicio de restaurante con el fin de celebrar el aniversario  # 71 de La Previsora.</t>
  </si>
  <si>
    <t>GHL GRAND VILLAVICENCIO HOTEL Y CENTRO DE CONVENCIONES</t>
  </si>
  <si>
    <t>https://community.secop.gov.co/Public/Tendering/ContractNoticePhases/View?PPI=CO1.PPI.42706319&amp;…</t>
  </si>
  <si>
    <t>300-2025-0130</t>
  </si>
  <si>
    <t>https://community.secop.gov.co/Public/Tendering/ContractNoticePhases/View?PPI=CO1.PPI.42706795&amp;…</t>
  </si>
  <si>
    <t>300-2025-0131</t>
  </si>
  <si>
    <t>Prestar servicio de almuerzo para el evento del  cumpleaños No. 71 de la Previsora.</t>
  </si>
  <si>
    <t>RESTAURANTE MING YUEN S.A.S.</t>
  </si>
  <si>
    <t>https://community.secop.gov.co/Public/Tendering/ContractNoticePhases/View?PPI=CO1.PPI.42711712&amp;…</t>
  </si>
  <si>
    <t>300-2025-0132</t>
  </si>
  <si>
    <t>Prestar servicio de logística y suministro de Catering para la celebración del aniversario No. 71 de la Previsora S.A en la sucursal Florencia.</t>
  </si>
  <si>
    <t>https://community.secop.gov.co/Public/Tendering/ContractNoticePhases/View?PPI=CO1.PPI.42710630&amp;…</t>
  </si>
  <si>
    <t>300-2025-0133</t>
  </si>
  <si>
    <t xml:space="preserve">Prestación de servicio para la impresión de la imagen corporativa por cambio del aviso de la sucursal. </t>
  </si>
  <si>
    <t>https://community.secop.gov.co/Public/Tendering/ContractNoticePhases/View?PPI=CO1.PPI.42530834&amp;…</t>
  </si>
  <si>
    <t>300-2025-0134</t>
  </si>
  <si>
    <t xml:space="preserve">Celebración dia de la familia para los funcionarios de la sucursal de Medellin. Suministro de 162 tiqueteras. </t>
  </si>
  <si>
    <t xml:space="preserve">CAJA DE COMPENSACION FAMILIAR DE ANTIOQUIA COMFAMA </t>
  </si>
  <si>
    <t>https://community.secop.gov.co/Public/Tendering/ContractNoticePhases/View?PPI=CO1.PPI.42099129&amp;…</t>
  </si>
  <si>
    <t>300-2025-0135</t>
  </si>
  <si>
    <t xml:space="preserve">Servicio de pasadía en el Parque del Café ubicado en el kilometro 6 via Montenegro,
para el día de la familia de los funcionarios. </t>
  </si>
  <si>
    <t>CAJA DE COMPENSACION FAMILIAR DEL VALLE DEL CAUCA - COMFAMILIAR ANDI - COMFANDI</t>
  </si>
  <si>
    <t>300-2025-0136</t>
  </si>
  <si>
    <t>300-2025-0137</t>
  </si>
  <si>
    <t>Contratación para la compra e instalación de luminarias LED en la
oficina de la Sucursal.</t>
  </si>
  <si>
    <t>JULIAN ANDRES AGUDELO VALENCIA</t>
  </si>
  <si>
    <t>ADECUACION E INSTALACION
DE OFICINA /ELEMENTOS VARIOS
FUNGIBLES</t>
  </si>
  <si>
    <t>https://community.secop.gov.co/Public/Tendering/ContractNoticePhases/View?PPI=CO1.PPI.42102283&amp;…</t>
  </si>
  <si>
    <t>300-2025-0138</t>
  </si>
  <si>
    <t>Contratar los servicios para el desarrollo de la actividad de integración familiar para los familiares y funcionarios de la Previsora S.A.</t>
  </si>
  <si>
    <t>MAKROANDINA S.A.S</t>
  </si>
  <si>
    <t>300-2025-0139</t>
  </si>
  <si>
    <t xml:space="preserve">Prestar el servicio para el desmonte y montaje de la impresión en papel panaflex, con los colores de la nueva imagen de la compañía. </t>
  </si>
  <si>
    <t>ALVARO ARAGON RODRIGUEZ</t>
  </si>
  <si>
    <t>https://community.secop.gov.co/Public/Tendering/ContractNoticePhases/View?PPI=CO1.PPI.42730527&amp;…</t>
  </si>
  <si>
    <t>300-2025-0140</t>
  </si>
  <si>
    <t>Suministro de 2 extintores CO2</t>
  </si>
  <si>
    <t>300-2025-0141</t>
  </si>
  <si>
    <t>Compra de equipo de aire acondicionado para la oficina de gerencia de la Sucursal.</t>
  </si>
  <si>
    <t>300-2025-0142</t>
  </si>
  <si>
    <t>Realizar obras de pintura y arreglos generales en la sucursal.</t>
  </si>
  <si>
    <t>CONSTRUCTORA LSHG S.A.S</t>
  </si>
  <si>
    <t>300-2025-0143</t>
  </si>
  <si>
    <t>Cambio de lona y mantenimiento del aviso luminoso externo con la nueva imagen de la Compañía, Sucursal Riohacha.</t>
  </si>
  <si>
    <t>EDUWAR JIMMY GUERRA AMARANTO</t>
  </si>
  <si>
    <t>300-2025-0145</t>
  </si>
  <si>
    <t>Mantenimiento preventivo y correctivo de puntos Red de datos, cableado y puntos eléctricos de computadores e impresoras.</t>
  </si>
  <si>
    <t>entrega en arrendamiento comercial a EL ARRENDATARIO el uso y goce del inmueble ubicado en la dirección calle 6 No. 11-61 Local 01 de la ciudad de Florencia.</t>
  </si>
  <si>
    <t>91,36%</t>
  </si>
  <si>
    <t>DEPRECIACIONES/ADMNISTRACION DE COPROPIEDADES</t>
  </si>
  <si>
    <t>DEPRECIACONES</t>
  </si>
  <si>
    <t>ARRENDAMIENTOS /DEPRECIACIONES</t>
  </si>
  <si>
    <t>DEPRECIACIONES
GASTOS DE ARCHIVO Y
MICROFILMACION</t>
  </si>
  <si>
    <t>Arriendo del inmueble oficinas Sucursal Villavicencio, ubicado en la Cra. 39 #35-49 Local Barrio el Barzal.
Adicionales para los años 2005 a 2017.
adicional firmado el 24 de mayo de 2017, ampliar la vigencia del contrato del 1 de junio de 2017 al 30 de mayo de 2018, valor del contrato $58.998.034, canon mensual de $4.131.515 mas el IVA. 
Adicional.- Ampliar el valor del contato y prórroga desde el 1 de junio de 2006 por 12 meses.
Adicional .- Ampliar el valor del contto y pr´rroga desde el 1 de junio de 2007 al 1 de junio de 2008
Adicioanles para los años 208-209, 209-2010, 2010-2011, 2011-2012, 2012-2013, 2013-2014, 2014-2015, 2015-2016, 2016-2017, 2017-2018, por un año desde el 1 de junio.
Adicional 2019.- Prorrogar la vigencia del contato en 12 meses contados a partir del 1 de junio de 2019 hasta el 30 de mayo de 2020.</t>
  </si>
  <si>
    <t>124-2012</t>
  </si>
  <si>
    <t>PORCENTAJE DE EJECUCIÓN FÍSICA</t>
  </si>
  <si>
    <t xml:space="preserve">PORCENTAJE DE EJECUCIÓN PRESUPUESTAL 
</t>
  </si>
  <si>
    <t>VALOR PAGADO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</si>
</sst>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2" formatCode="_-&quot;$&quot;\ * #,##0_-;\-&quot;$&quot;\ * #,##0_-;_-&quot;$&quot;\ * &quot;-&quot;_-;_-@_-"/>
    <numFmt numFmtId="41" formatCode="_-* #,##0_-;\-* #,##0_-;_-* &quot;-&quot;_-;_-@_-"/>
    <numFmt numFmtId="164" formatCode="#,##0;[Red]#,##0"/>
    <numFmt numFmtId="165" formatCode="dd/mm/yyyy;@"/>
    <numFmt numFmtId="166" formatCode="0.0%"/>
  </numFmts>
  <fonts count="24" x14ac:knownFonts="1">
    <font>
      <sz val="11"/>
      <color theme="1"/>
      <name val="Calibri"/>
      <family val="2"/>
      <scheme val="minor"/>
    </font>
    <font>
      <sz val="11"/>
      <color theme="1"/>
      <name val="Calibri"/>
      <family val="2"/>
      <scheme val="minor"/>
    </font>
    <font>
      <sz val="11"/>
      <color theme="1"/>
      <name val="Calibri"/>
      <family val="2"/>
    </font>
    <font>
      <b/>
      <sz val="11"/>
      <name val="Calibri"/>
      <family val="2"/>
    </font>
    <font>
      <sz val="11"/>
      <name val="Calibri"/>
      <family val="2"/>
    </font>
    <font>
      <sz val="11"/>
      <color rgb="FF000000"/>
      <name val="Calibri"/>
      <family val="2"/>
    </font>
    <font>
      <sz val="11"/>
      <name val="Calibri"/>
      <family val="2"/>
      <scheme val="minor"/>
    </font>
    <font>
      <u/>
      <sz val="11"/>
      <color theme="10"/>
      <name val="Calibri"/>
      <family val="2"/>
      <scheme val="minor"/>
    </font>
    <font>
      <sz val="8"/>
      <name val="Calibri"/>
      <family val="2"/>
      <scheme val="minor"/>
    </font>
    <font>
      <sz val="10"/>
      <color theme="1"/>
      <name val="Calibri"/>
      <family val="2"/>
    </font>
    <font>
      <sz val="10"/>
      <name val="Calibri"/>
      <family val="2"/>
    </font>
    <font>
      <b/>
      <sz val="11"/>
      <color theme="1"/>
      <name val="Arial"/>
      <family val="2"/>
    </font>
    <font>
      <sz val="11"/>
      <color theme="1"/>
      <name val="Arial"/>
      <family val="2"/>
    </font>
    <font>
      <b/>
      <sz val="11"/>
      <color theme="9" tint="-0.499984740745262"/>
      <name val="Calibri"/>
      <family val="2"/>
      <scheme val="minor"/>
    </font>
    <font>
      <b/>
      <sz val="11"/>
      <name val="Arial"/>
      <family val="2"/>
    </font>
    <font>
      <b/>
      <sz val="11"/>
      <color theme="0"/>
      <name val="Calibri"/>
      <family val="2"/>
    </font>
    <font>
      <b/>
      <sz val="14"/>
      <name val="Arial"/>
      <family val="2"/>
    </font>
    <font>
      <sz val="9"/>
      <name val="Calibri"/>
      <family val="2"/>
    </font>
    <font>
      <sz val="9"/>
      <color theme="1"/>
      <name val="Calibri"/>
      <family val="2"/>
    </font>
    <font>
      <b/>
      <sz val="11"/>
      <color theme="1"/>
      <name val="Calibri"/>
      <family val="2"/>
    </font>
    <font>
      <sz val="10"/>
      <name val="Calibri"/>
      <family val="2"/>
      <scheme val="minor"/>
    </font>
    <font>
      <b/>
      <sz val="11"/>
      <name val="Calibri"/>
      <family val="2"/>
      <scheme val="minor"/>
    </font>
    <font>
      <b/>
      <sz val="12"/>
      <color theme="0"/>
      <name val="Calibri"/>
      <family val="2"/>
    </font>
    <font>
      <sz val="11"/>
      <name val="Calibri"/>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CC66FF"/>
        <bgColor indexed="64"/>
      </patternFill>
    </fill>
    <fill>
      <patternFill patternType="solid">
        <fgColor theme="1" tint="0.249977111117893"/>
        <bgColor indexed="64"/>
      </patternFill>
    </fill>
    <fill>
      <patternFill patternType="solid">
        <fgColor indexed="54"/>
      </patternFill>
    </fill>
    <fill>
      <patternFill patternType="solid">
        <fgColor rgb="FF92D050"/>
        <bgColor indexed="64"/>
      </patternFill>
    </fill>
    <fill>
      <patternFill patternType="solid">
        <fgColor rgb="FF9B4CBA"/>
        <bgColor indexed="64"/>
      </patternFill>
    </fill>
    <fill>
      <patternFill patternType="solid">
        <fgColor rgb="FFFF0000"/>
        <bgColor indexed="64"/>
      </patternFill>
    </fill>
    <fill>
      <patternFill patternType="solid">
        <fgColor rgb="FF0070C0"/>
        <bgColor indexed="64"/>
      </patternFill>
    </fill>
    <fill>
      <patternFill patternType="solid">
        <fgColor theme="6" tint="0.79998168889431442"/>
        <bgColor theme="6" tint="0.79998168889431442"/>
      </patternFill>
    </fill>
  </fills>
  <borders count="6">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theme="6"/>
      </left>
      <right style="thin">
        <color theme="6"/>
      </right>
      <top style="thin">
        <color theme="6"/>
      </top>
      <bottom style="thin">
        <color theme="6"/>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s>
  <cellStyleXfs count="6">
    <xf numFmtId="0" fontId="0" fillId="0" borderId="0"/>
    <xf numFmtId="42" fontId="1" fillId="0" borderId="0" applyFont="0" applyFill="0" applyBorder="0" applyAlignment="0" applyProtection="0"/>
    <xf numFmtId="0" fontId="7" fillId="0" borderId="0" applyNumberForma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41" fontId="1" fillId="0" borderId="0" applyFont="0" applyFill="0" applyBorder="0" applyAlignment="0" applyProtection="0"/>
  </cellStyleXfs>
  <cellXfs count="155">
    <xf numFmtId="0" fontId="0" fillId="0" borderId="0" xfId="0"/>
    <xf numFmtId="0" fontId="2" fillId="0" borderId="0" xfId="0" applyFont="1" applyAlignment="1">
      <alignment vertical="center"/>
    </xf>
    <xf numFmtId="0" fontId="2" fillId="0" borderId="0" xfId="0" applyFont="1" applyAlignment="1">
      <alignment vertical="center" wrapText="1"/>
    </xf>
    <xf numFmtId="42" fontId="4" fillId="0" borderId="0" xfId="1" applyFont="1" applyFill="1" applyBorder="1" applyAlignment="1" applyProtection="1">
      <alignment horizontal="right" vertical="center" wrapText="1"/>
    </xf>
    <xf numFmtId="164" fontId="4" fillId="0" borderId="0" xfId="1" applyNumberFormat="1" applyFont="1" applyFill="1" applyBorder="1" applyAlignment="1" applyProtection="1">
      <alignment horizontal="right" vertical="center" wrapText="1"/>
    </xf>
    <xf numFmtId="164" fontId="2" fillId="0" borderId="0" xfId="1" applyNumberFormat="1" applyFont="1" applyFill="1" applyBorder="1" applyAlignment="1" applyProtection="1">
      <alignment horizontal="right" vertical="center"/>
    </xf>
    <xf numFmtId="0" fontId="0" fillId="0" borderId="0" xfId="0" applyAlignment="1">
      <alignment horizontal="left"/>
    </xf>
    <xf numFmtId="42" fontId="2" fillId="0" borderId="0" xfId="1" applyFont="1" applyFill="1" applyBorder="1" applyAlignment="1" applyProtection="1">
      <alignment horizontal="right" vertical="center"/>
    </xf>
    <xf numFmtId="0" fontId="11" fillId="0" borderId="2" xfId="0" applyFont="1" applyBorder="1"/>
    <xf numFmtId="0" fontId="12" fillId="0" borderId="2" xfId="0" applyFont="1" applyBorder="1"/>
    <xf numFmtId="0" fontId="12" fillId="0" borderId="2" xfId="0" applyFont="1" applyBorder="1" applyAlignment="1">
      <alignment wrapText="1"/>
    </xf>
    <xf numFmtId="0" fontId="12" fillId="0" borderId="2" xfId="0" applyFont="1" applyBorder="1" applyAlignment="1">
      <alignment horizontal="left"/>
    </xf>
    <xf numFmtId="0" fontId="0" fillId="3" borderId="0" xfId="0" applyFill="1"/>
    <xf numFmtId="0" fontId="0" fillId="2" borderId="0" xfId="0" applyFill="1"/>
    <xf numFmtId="0" fontId="0" fillId="3" borderId="0" xfId="0" applyFill="1" applyAlignment="1">
      <alignment horizontal="left"/>
    </xf>
    <xf numFmtId="3" fontId="0" fillId="0" borderId="0" xfId="0" applyNumberFormat="1"/>
    <xf numFmtId="0" fontId="0" fillId="4" borderId="2" xfId="0" applyFill="1" applyBorder="1"/>
    <xf numFmtId="0" fontId="0" fillId="2" borderId="0" xfId="0" applyFill="1" applyAlignment="1">
      <alignment horizontal="left"/>
    </xf>
    <xf numFmtId="0" fontId="0" fillId="5" borderId="2" xfId="0" applyFill="1" applyBorder="1"/>
    <xf numFmtId="0" fontId="13" fillId="0" borderId="0" xfId="0" applyFont="1"/>
    <xf numFmtId="3" fontId="0" fillId="0" borderId="0" xfId="0" applyNumberFormat="1" applyAlignment="1">
      <alignment horizontal="left"/>
    </xf>
    <xf numFmtId="0" fontId="0" fillId="6" borderId="0" xfId="0" applyFill="1"/>
    <xf numFmtId="0" fontId="6" fillId="0" borderId="0" xfId="0" applyFont="1"/>
    <xf numFmtId="0" fontId="0" fillId="5" borderId="3" xfId="0" applyFill="1" applyBorder="1"/>
    <xf numFmtId="164" fontId="4" fillId="0" borderId="0" xfId="1" applyNumberFormat="1" applyFont="1" applyFill="1" applyBorder="1" applyAlignment="1" applyProtection="1">
      <alignment horizontal="center" vertical="center" wrapText="1"/>
    </xf>
    <xf numFmtId="0" fontId="16" fillId="0" borderId="0" xfId="0" applyFont="1" applyAlignment="1">
      <alignment horizontal="left"/>
    </xf>
    <xf numFmtId="42" fontId="4" fillId="0" borderId="0" xfId="1" applyFont="1" applyFill="1" applyBorder="1" applyAlignment="1" applyProtection="1">
      <alignment vertical="center" wrapText="1"/>
      <protection locked="0"/>
    </xf>
    <xf numFmtId="10" fontId="3" fillId="0" borderId="0" xfId="3" applyNumberFormat="1" applyFont="1" applyFill="1" applyBorder="1" applyAlignment="1">
      <alignment horizontal="center" vertical="center"/>
    </xf>
    <xf numFmtId="0" fontId="3" fillId="7" borderId="0" xfId="0" applyFont="1" applyFill="1" applyAlignment="1" applyProtection="1">
      <alignment vertical="center" wrapText="1"/>
      <protection locked="0"/>
    </xf>
    <xf numFmtId="42" fontId="3" fillId="7" borderId="0" xfId="0" applyNumberFormat="1" applyFont="1" applyFill="1" applyAlignment="1" applyProtection="1">
      <alignment vertical="center" wrapText="1"/>
      <protection locked="0"/>
    </xf>
    <xf numFmtId="0" fontId="4" fillId="0" borderId="0" xfId="0" applyFont="1" applyAlignment="1">
      <alignment vertical="center" wrapText="1"/>
    </xf>
    <xf numFmtId="0" fontId="2" fillId="0" borderId="0" xfId="0" applyFont="1" applyAlignment="1">
      <alignment horizontal="center" vertical="center" wrapText="1"/>
    </xf>
    <xf numFmtId="42" fontId="4" fillId="0" borderId="0" xfId="0" applyNumberFormat="1" applyFont="1" applyAlignment="1">
      <alignment vertical="center" wrapText="1"/>
    </xf>
    <xf numFmtId="42" fontId="4" fillId="0" borderId="0" xfId="0" applyNumberFormat="1" applyFont="1" applyAlignment="1">
      <alignment horizontal="center" vertical="center" wrapText="1"/>
    </xf>
    <xf numFmtId="10" fontId="3" fillId="0" borderId="0" xfId="3" applyNumberFormat="1" applyFont="1" applyFill="1" applyBorder="1" applyAlignment="1">
      <alignment horizontal="center" vertical="center" wrapText="1"/>
    </xf>
    <xf numFmtId="42" fontId="4" fillId="0" borderId="0" xfId="1" applyFont="1" applyFill="1" applyBorder="1" applyAlignment="1">
      <alignment horizontal="center" vertical="center" wrapText="1"/>
    </xf>
    <xf numFmtId="0" fontId="4" fillId="0" borderId="0" xfId="1" applyNumberFormat="1" applyFont="1" applyFill="1" applyBorder="1" applyAlignment="1">
      <alignment horizontal="left" vertical="center"/>
    </xf>
    <xf numFmtId="0" fontId="4" fillId="0" borderId="0" xfId="0" applyFont="1" applyAlignment="1">
      <alignment vertical="center"/>
    </xf>
    <xf numFmtId="42" fontId="4" fillId="0" borderId="0" xfId="0" applyNumberFormat="1" applyFont="1" applyAlignment="1">
      <alignment vertical="center"/>
    </xf>
    <xf numFmtId="42" fontId="4" fillId="0" borderId="0" xfId="1" applyFont="1" applyFill="1" applyBorder="1" applyAlignment="1" applyProtection="1">
      <alignment horizontal="right" vertical="center"/>
    </xf>
    <xf numFmtId="164" fontId="4" fillId="0" borderId="0" xfId="1" applyNumberFormat="1" applyFont="1" applyFill="1" applyBorder="1" applyAlignment="1" applyProtection="1">
      <alignment horizontal="right" vertical="center"/>
    </xf>
    <xf numFmtId="42" fontId="4" fillId="0" borderId="0" xfId="1" applyFont="1" applyFill="1" applyBorder="1" applyAlignment="1">
      <alignment horizontal="center" vertical="center"/>
    </xf>
    <xf numFmtId="0" fontId="4" fillId="0" borderId="0" xfId="1" applyNumberFormat="1" applyFont="1" applyFill="1" applyBorder="1" applyAlignment="1">
      <alignment horizontal="center" vertical="center"/>
    </xf>
    <xf numFmtId="0" fontId="14" fillId="0" borderId="0" xfId="0" applyFont="1" applyAlignment="1">
      <alignment vertical="center" wrapText="1"/>
    </xf>
    <xf numFmtId="0" fontId="14" fillId="0" borderId="1" xfId="0" applyFont="1" applyBorder="1" applyAlignment="1">
      <alignment vertical="center" wrapText="1"/>
    </xf>
    <xf numFmtId="10" fontId="2" fillId="0" borderId="0" xfId="0" applyNumberFormat="1" applyFont="1" applyAlignment="1">
      <alignment vertical="center" wrapText="1"/>
    </xf>
    <xf numFmtId="0" fontId="0" fillId="0" borderId="0" xfId="0" applyAlignment="1">
      <alignment wrapText="1"/>
    </xf>
    <xf numFmtId="42" fontId="2" fillId="0" borderId="0" xfId="1" applyFont="1" applyFill="1" applyBorder="1" applyAlignment="1" applyProtection="1">
      <alignment horizontal="right" vertical="center" wrapText="1"/>
    </xf>
    <xf numFmtId="164" fontId="2" fillId="0" borderId="0" xfId="1" applyNumberFormat="1" applyFont="1" applyFill="1" applyBorder="1" applyAlignment="1" applyProtection="1">
      <alignment horizontal="right" vertical="center" wrapText="1"/>
    </xf>
    <xf numFmtId="0" fontId="6" fillId="0" borderId="0" xfId="0" applyFont="1" applyAlignment="1">
      <alignment horizontal="center" vertical="center" wrapText="1"/>
    </xf>
    <xf numFmtId="0" fontId="6" fillId="0" borderId="0" xfId="0" applyFont="1" applyAlignment="1">
      <alignment wrapText="1"/>
    </xf>
    <xf numFmtId="10" fontId="6" fillId="0" borderId="0" xfId="0" applyNumberFormat="1" applyFont="1" applyAlignment="1">
      <alignment wrapText="1"/>
    </xf>
    <xf numFmtId="42" fontId="2" fillId="0" borderId="0" xfId="1" applyFont="1" applyFill="1" applyAlignment="1" applyProtection="1">
      <alignment vertical="center" wrapText="1"/>
    </xf>
    <xf numFmtId="42" fontId="4" fillId="0" borderId="0" xfId="1" applyFont="1" applyFill="1" applyBorder="1" applyAlignment="1" applyProtection="1">
      <alignment vertical="center"/>
      <protection locked="0"/>
    </xf>
    <xf numFmtId="0" fontId="4" fillId="0" borderId="0" xfId="0" applyFont="1" applyAlignment="1">
      <alignment horizontal="right" vertical="center" wrapText="1"/>
    </xf>
    <xf numFmtId="0" fontId="5" fillId="0" borderId="0" xfId="0" applyFont="1" applyAlignment="1">
      <alignment vertical="center" wrapText="1"/>
    </xf>
    <xf numFmtId="0" fontId="4" fillId="0" borderId="0" xfId="0" applyFont="1" applyAlignment="1">
      <alignment horizontal="center" vertical="center" wrapText="1"/>
    </xf>
    <xf numFmtId="0" fontId="10" fillId="0" borderId="0" xfId="0" applyFont="1" applyAlignment="1">
      <alignment vertical="center" wrapText="1"/>
    </xf>
    <xf numFmtId="1" fontId="4" fillId="0" borderId="0" xfId="0" applyNumberFormat="1" applyFont="1" applyAlignment="1">
      <alignment vertical="center" wrapText="1"/>
    </xf>
    <xf numFmtId="1"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165" fontId="4" fillId="0" borderId="0" xfId="0" applyNumberFormat="1" applyFont="1" applyAlignment="1">
      <alignment vertical="center" wrapText="1"/>
    </xf>
    <xf numFmtId="0" fontId="5" fillId="0" borderId="0" xfId="0" applyFont="1" applyAlignment="1">
      <alignment horizontal="center" vertical="center" wrapText="1"/>
    </xf>
    <xf numFmtId="42" fontId="10" fillId="0" borderId="0" xfId="0" applyNumberFormat="1" applyFont="1" applyAlignment="1">
      <alignment horizontal="center" vertical="center" wrapText="1"/>
    </xf>
    <xf numFmtId="165" fontId="2" fillId="0" borderId="0" xfId="0" applyNumberFormat="1" applyFont="1" applyAlignment="1">
      <alignment vertical="center" wrapText="1"/>
    </xf>
    <xf numFmtId="0" fontId="17" fillId="0" borderId="0" xfId="0" applyFont="1" applyAlignment="1">
      <alignment vertical="center" wrapText="1"/>
    </xf>
    <xf numFmtId="0" fontId="4" fillId="0" borderId="0" xfId="0" applyFont="1" applyAlignment="1">
      <alignment horizontal="right" vertical="center"/>
    </xf>
    <xf numFmtId="0" fontId="5" fillId="0" borderId="0" xfId="0" applyFont="1" applyAlignment="1">
      <alignment horizontal="center" vertical="center"/>
    </xf>
    <xf numFmtId="0" fontId="18" fillId="0" borderId="0" xfId="0" applyFont="1" applyAlignment="1">
      <alignment vertical="center" wrapText="1"/>
    </xf>
    <xf numFmtId="14"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6" fontId="5" fillId="0" borderId="0" xfId="0" applyNumberFormat="1" applyFont="1" applyAlignment="1">
      <alignment vertical="center" wrapText="1"/>
    </xf>
    <xf numFmtId="0" fontId="2" fillId="0" borderId="0" xfId="0" applyFont="1" applyAlignment="1" applyProtection="1">
      <alignment horizontal="center" vertical="center" wrapText="1"/>
      <protection locked="0"/>
    </xf>
    <xf numFmtId="166" fontId="5" fillId="12" borderId="0" xfId="0" applyNumberFormat="1" applyFont="1" applyFill="1" applyAlignment="1">
      <alignment vertical="center" wrapText="1"/>
    </xf>
    <xf numFmtId="0" fontId="7" fillId="0" borderId="0" xfId="4" applyNumberFormat="1" applyFill="1" applyBorder="1" applyAlignment="1">
      <alignment horizontal="left" vertical="center"/>
    </xf>
    <xf numFmtId="0" fontId="4" fillId="0" borderId="0" xfId="0" applyFont="1" applyAlignment="1">
      <alignment horizontal="left" vertical="center" wrapText="1"/>
    </xf>
    <xf numFmtId="0" fontId="2" fillId="0" borderId="0" xfId="0" applyFont="1" applyAlignment="1">
      <alignment horizontal="left" vertical="center" wrapText="1"/>
    </xf>
    <xf numFmtId="42" fontId="9" fillId="0" borderId="0" xfId="1" applyFont="1" applyFill="1" applyBorder="1" applyAlignment="1" applyProtection="1">
      <alignment horizontal="right" vertical="center" wrapText="1"/>
    </xf>
    <xf numFmtId="42" fontId="10" fillId="0" borderId="0" xfId="1" applyFont="1" applyFill="1" applyBorder="1" applyAlignment="1" applyProtection="1">
      <alignment horizontal="right" vertical="center" wrapText="1"/>
    </xf>
    <xf numFmtId="6" fontId="2" fillId="0" borderId="0" xfId="1" applyNumberFormat="1" applyFont="1" applyFill="1" applyBorder="1" applyAlignment="1" applyProtection="1">
      <alignment horizontal="right" vertical="center" wrapText="1"/>
    </xf>
    <xf numFmtId="42" fontId="2" fillId="0" borderId="0" xfId="0" applyNumberFormat="1" applyFont="1" applyAlignment="1">
      <alignment vertical="center" wrapText="1"/>
    </xf>
    <xf numFmtId="0" fontId="15" fillId="10" borderId="4" xfId="0" applyFont="1" applyFill="1" applyBorder="1" applyAlignment="1" applyProtection="1">
      <alignment vertical="center" wrapText="1"/>
      <protection locked="0"/>
    </xf>
    <xf numFmtId="0" fontId="15" fillId="11" borderId="4" xfId="0" applyFont="1" applyFill="1" applyBorder="1" applyAlignment="1" applyProtection="1">
      <alignment horizontal="center" vertical="center" wrapText="1"/>
      <protection locked="0"/>
    </xf>
    <xf numFmtId="0" fontId="15" fillId="11" borderId="4" xfId="0" applyFont="1" applyFill="1" applyBorder="1" applyAlignment="1" applyProtection="1">
      <alignment vertical="center" wrapText="1"/>
      <protection locked="0"/>
    </xf>
    <xf numFmtId="0" fontId="15" fillId="10" borderId="4" xfId="0" applyFont="1" applyFill="1" applyBorder="1" applyAlignment="1" applyProtection="1">
      <alignment horizontal="center" vertical="center" wrapText="1"/>
      <protection locked="0"/>
    </xf>
    <xf numFmtId="0" fontId="15" fillId="8" borderId="4" xfId="0" applyFont="1" applyFill="1" applyBorder="1" applyAlignment="1">
      <alignment horizontal="center" vertical="center" wrapText="1"/>
    </xf>
    <xf numFmtId="0" fontId="15" fillId="9" borderId="4" xfId="0" applyFont="1" applyFill="1" applyBorder="1" applyAlignment="1">
      <alignment horizontal="center" vertical="center" wrapText="1"/>
    </xf>
    <xf numFmtId="10" fontId="15" fillId="9" borderId="4" xfId="0" applyNumberFormat="1" applyFont="1" applyFill="1" applyBorder="1" applyAlignment="1">
      <alignment horizontal="center" vertical="center" wrapText="1"/>
    </xf>
    <xf numFmtId="9" fontId="3" fillId="0" borderId="0" xfId="3" applyFont="1" applyFill="1" applyBorder="1" applyAlignment="1">
      <alignment horizontal="center" vertical="center" wrapText="1"/>
    </xf>
    <xf numFmtId="0" fontId="4" fillId="0" borderId="0" xfId="1" applyNumberFormat="1" applyFont="1" applyFill="1" applyBorder="1" applyAlignment="1">
      <alignment vertical="center"/>
    </xf>
    <xf numFmtId="0" fontId="14" fillId="0" borderId="0" xfId="0" applyFont="1" applyAlignment="1">
      <alignment vertical="center"/>
    </xf>
    <xf numFmtId="0" fontId="15" fillId="10" borderId="4" xfId="0" applyFont="1" applyFill="1" applyBorder="1" applyAlignment="1" applyProtection="1">
      <alignment vertical="center"/>
      <protection locked="0"/>
    </xf>
    <xf numFmtId="0" fontId="10" fillId="0" borderId="0" xfId="0" applyFont="1" applyAlignment="1">
      <alignment vertical="center"/>
    </xf>
    <xf numFmtId="0" fontId="9" fillId="0" borderId="0" xfId="0" applyFont="1" applyAlignment="1">
      <alignment vertical="center"/>
    </xf>
    <xf numFmtId="0" fontId="3" fillId="7" borderId="0" xfId="0" applyFont="1" applyFill="1" applyAlignment="1" applyProtection="1">
      <alignment vertical="center"/>
      <protection locked="0"/>
    </xf>
    <xf numFmtId="0" fontId="19" fillId="0" borderId="0" xfId="0" applyFont="1" applyAlignment="1">
      <alignment horizontal="center" vertical="center" wrapText="1"/>
    </xf>
    <xf numFmtId="0" fontId="3" fillId="0" borderId="0" xfId="0" applyFont="1" applyAlignment="1">
      <alignment horizontal="center" vertical="center" wrapText="1"/>
    </xf>
    <xf numFmtId="10" fontId="3" fillId="0" borderId="0" xfId="3" applyNumberFormat="1" applyFont="1" applyFill="1" applyAlignment="1">
      <alignment horizontal="center" vertical="center" wrapText="1"/>
    </xf>
    <xf numFmtId="165" fontId="4" fillId="12" borderId="0" xfId="0" applyNumberFormat="1" applyFont="1" applyFill="1" applyAlignment="1">
      <alignment horizontal="center" vertical="center" wrapText="1"/>
    </xf>
    <xf numFmtId="14" fontId="4" fillId="0" borderId="0" xfId="0" applyNumberFormat="1" applyFont="1" applyAlignment="1">
      <alignment vertical="center" wrapText="1"/>
    </xf>
    <xf numFmtId="42" fontId="10" fillId="0" borderId="0" xfId="0" applyNumberFormat="1" applyFont="1" applyAlignment="1">
      <alignment vertical="center" wrapText="1"/>
    </xf>
    <xf numFmtId="41" fontId="4" fillId="0" borderId="0" xfId="5" applyFont="1" applyFill="1" applyAlignment="1">
      <alignment vertical="center" wrapText="1"/>
    </xf>
    <xf numFmtId="0" fontId="5" fillId="0" borderId="0" xfId="0" applyFont="1" applyAlignment="1">
      <alignment vertical="center"/>
    </xf>
    <xf numFmtId="0" fontId="3" fillId="0" borderId="0" xfId="0" applyFont="1" applyAlignment="1">
      <alignment horizontal="center" vertical="center"/>
    </xf>
    <xf numFmtId="14" fontId="4" fillId="0" borderId="0" xfId="0" applyNumberFormat="1" applyFont="1" applyAlignment="1">
      <alignment horizontal="center" vertical="center"/>
    </xf>
    <xf numFmtId="42" fontId="10" fillId="0" borderId="0" xfId="0" applyNumberFormat="1" applyFont="1" applyAlignment="1">
      <alignment vertical="center"/>
    </xf>
    <xf numFmtId="0" fontId="4" fillId="0" borderId="0" xfId="0" applyFont="1" applyAlignment="1">
      <alignment horizontal="center" vertical="center"/>
    </xf>
    <xf numFmtId="165" fontId="4" fillId="0" borderId="0" xfId="0" applyNumberFormat="1" applyFont="1" applyAlignment="1">
      <alignment horizontal="center" vertical="center"/>
    </xf>
    <xf numFmtId="1" fontId="4" fillId="0" borderId="0" xfId="0" applyNumberFormat="1" applyFont="1" applyAlignment="1">
      <alignment vertical="center"/>
    </xf>
    <xf numFmtId="1" fontId="4" fillId="0" borderId="0" xfId="0" applyNumberFormat="1" applyFont="1" applyAlignment="1">
      <alignment horizontal="center" vertical="center"/>
    </xf>
    <xf numFmtId="42" fontId="9" fillId="0" borderId="0" xfId="0" applyNumberFormat="1" applyFont="1" applyAlignment="1">
      <alignment vertical="center" wrapText="1"/>
    </xf>
    <xf numFmtId="42" fontId="9" fillId="0" borderId="0" xfId="0" applyNumberFormat="1" applyFont="1" applyAlignment="1">
      <alignment horizontal="center" vertical="center" wrapText="1"/>
    </xf>
    <xf numFmtId="14" fontId="2" fillId="0" borderId="0" xfId="0" applyNumberFormat="1" applyFont="1" applyAlignment="1">
      <alignment horizontal="center" vertical="center"/>
    </xf>
    <xf numFmtId="165" fontId="2" fillId="0" borderId="0" xfId="0" applyNumberFormat="1" applyFont="1" applyAlignment="1">
      <alignment horizontal="center" vertical="center"/>
    </xf>
    <xf numFmtId="166" fontId="5" fillId="0" borderId="0" xfId="0" applyNumberFormat="1" applyFont="1" applyAlignment="1">
      <alignment vertical="center"/>
    </xf>
    <xf numFmtId="0" fontId="19" fillId="0" borderId="0" xfId="0" applyFont="1" applyAlignment="1">
      <alignment horizontal="center" vertical="center"/>
    </xf>
    <xf numFmtId="42" fontId="9" fillId="0" borderId="0" xfId="0" applyNumberFormat="1" applyFont="1" applyAlignment="1">
      <alignment vertical="center"/>
    </xf>
    <xf numFmtId="42" fontId="2"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164" fontId="4" fillId="0" borderId="0" xfId="0" applyNumberFormat="1" applyFont="1" applyAlignment="1">
      <alignment horizontal="right" vertical="center" wrapText="1"/>
    </xf>
    <xf numFmtId="0" fontId="9" fillId="0" borderId="0" xfId="0" applyFont="1" applyAlignment="1">
      <alignment horizontal="left"/>
    </xf>
    <xf numFmtId="42" fontId="9" fillId="0" borderId="0" xfId="0" applyNumberFormat="1" applyFont="1" applyAlignment="1">
      <alignment horizontal="right" vertical="center" wrapText="1"/>
    </xf>
    <xf numFmtId="0" fontId="21" fillId="0" borderId="0" xfId="0" applyFont="1" applyAlignment="1">
      <alignment horizontal="center" vertical="center" wrapText="1"/>
    </xf>
    <xf numFmtId="14" fontId="0" fillId="0" borderId="0" xfId="0" applyNumberFormat="1" applyAlignment="1">
      <alignment horizontal="center" vertical="center" wrapText="1"/>
    </xf>
    <xf numFmtId="42" fontId="20" fillId="0" borderId="0" xfId="0" applyNumberFormat="1" applyFont="1" applyAlignment="1">
      <alignment horizontal="center" vertical="center" wrapText="1"/>
    </xf>
    <xf numFmtId="42" fontId="20" fillId="0" borderId="0" xfId="0" applyNumberFormat="1" applyFont="1" applyAlignment="1">
      <alignment vertical="center" wrapText="1"/>
    </xf>
    <xf numFmtId="0" fontId="20" fillId="0" borderId="0" xfId="0" applyFont="1" applyAlignment="1">
      <alignment horizontal="left" vertical="center"/>
    </xf>
    <xf numFmtId="42" fontId="6" fillId="0" borderId="0" xfId="0" applyNumberFormat="1" applyFont="1" applyAlignment="1">
      <alignment horizontal="center" vertical="center" wrapText="1"/>
    </xf>
    <xf numFmtId="6" fontId="4" fillId="0" borderId="0" xfId="0" applyNumberFormat="1" applyFont="1" applyAlignment="1">
      <alignment vertical="center" wrapText="1"/>
    </xf>
    <xf numFmtId="6" fontId="10" fillId="0" borderId="0" xfId="0" applyNumberFormat="1" applyFont="1" applyAlignment="1">
      <alignment vertical="center" wrapText="1"/>
    </xf>
    <xf numFmtId="166" fontId="4" fillId="0" borderId="0" xfId="0" applyNumberFormat="1" applyFont="1" applyAlignment="1">
      <alignment horizontal="center" vertical="center" wrapText="1"/>
    </xf>
    <xf numFmtId="0" fontId="6" fillId="0" borderId="2" xfId="0" applyFont="1" applyBorder="1" applyAlignment="1">
      <alignment horizontal="left" wrapText="1"/>
    </xf>
    <xf numFmtId="0" fontId="22" fillId="10" borderId="5" xfId="0" applyFont="1" applyFill="1" applyBorder="1" applyAlignment="1" applyProtection="1">
      <alignment horizontal="center" vertical="center" wrapText="1"/>
      <protection locked="0"/>
    </xf>
    <xf numFmtId="0" fontId="22" fillId="11" borderId="5" xfId="0" applyFont="1" applyFill="1" applyBorder="1" applyAlignment="1" applyProtection="1">
      <alignment horizontal="center" vertical="center" wrapText="1"/>
      <protection locked="0"/>
    </xf>
    <xf numFmtId="0" fontId="22" fillId="11" borderId="5" xfId="0" applyFont="1" applyFill="1" applyBorder="1" applyAlignment="1" applyProtection="1">
      <alignment vertical="center" wrapText="1"/>
      <protection locked="0"/>
    </xf>
    <xf numFmtId="0" fontId="22" fillId="8" borderId="5" xfId="0" applyFont="1" applyFill="1" applyBorder="1" applyAlignment="1">
      <alignment horizontal="center" vertical="center" wrapText="1"/>
    </xf>
    <xf numFmtId="0" fontId="22" fillId="13" borderId="0" xfId="0" applyFont="1" applyFill="1" applyAlignment="1" applyProtection="1">
      <alignment horizontal="center" vertical="center" wrapText="1"/>
      <protection locked="0"/>
    </xf>
    <xf numFmtId="0" fontId="22" fillId="10" borderId="5" xfId="0" applyFont="1" applyFill="1" applyBorder="1" applyAlignment="1" applyProtection="1">
      <alignment vertical="center" wrapText="1"/>
      <protection locked="0"/>
    </xf>
    <xf numFmtId="0" fontId="22" fillId="10" borderId="0" xfId="0" applyFont="1" applyFill="1" applyAlignment="1" applyProtection="1">
      <alignment horizontal="center" vertical="center" wrapText="1"/>
      <protection locked="0"/>
    </xf>
    <xf numFmtId="0" fontId="22" fillId="9" borderId="5" xfId="0" applyFont="1" applyFill="1" applyBorder="1" applyAlignment="1">
      <alignment horizontal="center" vertical="center" wrapText="1"/>
    </xf>
    <xf numFmtId="10" fontId="22" fillId="9" borderId="5" xfId="0" applyNumberFormat="1" applyFont="1" applyFill="1" applyBorder="1" applyAlignment="1">
      <alignment horizontal="center" vertical="center" wrapText="1"/>
    </xf>
    <xf numFmtId="0" fontId="9" fillId="0" borderId="0" xfId="0" applyFont="1" applyAlignment="1">
      <alignment vertical="center" wrapText="1"/>
    </xf>
    <xf numFmtId="42" fontId="4" fillId="0" borderId="0" xfId="1" applyFont="1" applyFill="1" applyBorder="1" applyAlignment="1">
      <alignment horizontal="center" vertical="top" wrapText="1"/>
    </xf>
    <xf numFmtId="42" fontId="2" fillId="14" borderId="0" xfId="1" applyFont="1" applyFill="1" applyBorder="1" applyAlignment="1">
      <alignment horizontal="right" vertical="center" wrapText="1"/>
    </xf>
    <xf numFmtId="42" fontId="4" fillId="0" borderId="0" xfId="1" applyFont="1" applyFill="1" applyBorder="1" applyAlignment="1">
      <alignment horizontal="left" vertical="center" wrapText="1"/>
    </xf>
    <xf numFmtId="42" fontId="4" fillId="0" borderId="3" xfId="0" applyNumberFormat="1" applyFont="1" applyBorder="1" applyAlignment="1">
      <alignment vertical="center" wrapText="1"/>
    </xf>
    <xf numFmtId="0" fontId="2" fillId="0" borderId="0" xfId="0" applyFont="1" applyAlignment="1">
      <alignment horizontal="left" vertical="center"/>
    </xf>
    <xf numFmtId="42" fontId="2" fillId="12" borderId="0" xfId="0" applyNumberFormat="1" applyFont="1" applyFill="1" applyAlignment="1">
      <alignment vertical="center" wrapText="1"/>
    </xf>
    <xf numFmtId="42" fontId="4" fillId="0" borderId="0" xfId="1" applyFont="1" applyAlignment="1">
      <alignment vertical="center" wrapText="1"/>
    </xf>
    <xf numFmtId="0" fontId="4" fillId="0" borderId="1" xfId="0" applyFont="1" applyBorder="1" applyAlignment="1">
      <alignment vertical="center"/>
    </xf>
    <xf numFmtId="0" fontId="4" fillId="2" borderId="0" xfId="0" applyFont="1" applyFill="1" applyAlignment="1">
      <alignment horizontal="center" vertical="center" wrapText="1"/>
    </xf>
    <xf numFmtId="42" fontId="4" fillId="0" borderId="0" xfId="1" applyFont="1" applyFill="1" applyBorder="1" applyAlignment="1">
      <alignment horizontal="right" vertical="center" wrapText="1"/>
    </xf>
    <xf numFmtId="42" fontId="23" fillId="0" borderId="0" xfId="0" applyNumberFormat="1" applyFont="1" applyAlignment="1">
      <alignment vertical="center" wrapText="1"/>
    </xf>
    <xf numFmtId="0" fontId="22" fillId="10" borderId="0" xfId="0" applyFont="1" applyFill="1" applyAlignment="1" applyProtection="1">
      <alignment horizontal="left" vertical="center" wrapText="1"/>
      <protection locked="0"/>
    </xf>
  </cellXfs>
  <cellStyles count="6">
    <cellStyle name="Hipervínculo" xfId="4" builtinId="8"/>
    <cellStyle name="Hipervínculo 2 6" xfId="2" xr:uid="{F8D4C686-A166-471F-8CFB-8C9ADFBE45D1}"/>
    <cellStyle name="Millares [0]" xfId="5" builtinId="6"/>
    <cellStyle name="Moneda [0]" xfId="1" builtinId="7"/>
    <cellStyle name="Normal" xfId="0" builtinId="0"/>
    <cellStyle name="Porcentaje" xfId="3" builtinId="5"/>
  </cellStyles>
  <dxfs count="156">
    <dxf>
      <font>
        <b val="0"/>
        <i val="0"/>
        <strike val="0"/>
        <condense val="0"/>
        <extend val="0"/>
        <outline val="0"/>
        <shadow val="0"/>
        <u val="none"/>
        <vertAlign val="baseline"/>
        <sz val="11"/>
        <color theme="1"/>
        <name val="Calibri"/>
        <family val="2"/>
        <scheme val="none"/>
      </font>
      <numFmt numFmtId="32" formatCode="_-&quot;$&quot;\ * #,##0_-;\-&quot;$&quot;\ * #,##0_-;_-&quot;$&quot;\ * &quot;-&quot;_-;_-@_-"/>
      <fill>
        <patternFill patternType="none">
          <fgColor indexed="64"/>
          <bgColor indexed="65"/>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1"/>
        <name val="Calibri"/>
        <family val="2"/>
        <scheme val="none"/>
      </font>
    </dxf>
    <dxf>
      <font>
        <b val="0"/>
        <i val="0"/>
        <strike val="0"/>
        <condense val="0"/>
        <extend val="0"/>
        <outline val="0"/>
        <shadow val="0"/>
        <u val="none"/>
        <vertAlign val="baseline"/>
        <sz val="11"/>
        <color theme="1"/>
        <name val="Calibri"/>
        <family val="2"/>
        <scheme val="none"/>
      </font>
      <numFmt numFmtId="32" formatCode="_-&quot;$&quot;\ * #,##0_-;\-&quot;$&quot;\ * #,##0_-;_-&quot;$&quot;\ * &quot;-&quot;_-;_-@_-"/>
      <fill>
        <patternFill patternType="none">
          <fgColor indexed="64"/>
          <bgColor auto="1"/>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Calibri"/>
        <family val="2"/>
        <scheme val="none"/>
      </font>
      <numFmt numFmtId="32" formatCode="_-&quot;$&quot;\ * #,##0_-;\-&quot;$&quot;\ * #,##0_-;_-&quot;$&quot;\ * &quot;-&quot;_-;_-@_-"/>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bgColor auto="1"/>
        </patternFill>
      </fill>
      <alignment horizontal="center" vertical="center" textRotation="0" wrapText="1" indent="0" justifyLastLine="0" shrinkToFit="0" readingOrder="0"/>
    </dxf>
    <dxf>
      <fill>
        <patternFill>
          <bgColor theme="7" tint="0.79998168889431442"/>
        </patternFill>
      </fill>
    </dxf>
    <dxf>
      <fill>
        <patternFill>
          <bgColor theme="5" tint="0.59996337778862885"/>
        </patternFill>
      </fill>
    </dxf>
    <dxf>
      <fill>
        <patternFill>
          <bgColor theme="7" tint="0.59996337778862885"/>
        </patternFill>
      </fill>
    </dxf>
    <dxf>
      <fill>
        <patternFill>
          <bgColor rgb="FFFF0000"/>
        </patternFill>
      </fill>
    </dxf>
    <dxf>
      <fill>
        <patternFill>
          <bgColor rgb="FFFF9999"/>
        </patternFill>
      </fill>
    </dxf>
    <dxf>
      <fill>
        <patternFill>
          <bgColor theme="7" tint="0.39994506668294322"/>
        </patternFill>
      </fill>
    </dxf>
    <dxf>
      <fill>
        <patternFill>
          <bgColor theme="7" tint="0.79998168889431442"/>
        </patternFill>
      </fill>
    </dxf>
    <dxf>
      <fill>
        <patternFill>
          <bgColor theme="5" tint="0.59996337778862885"/>
        </patternFill>
      </fill>
    </dxf>
    <dxf>
      <fill>
        <patternFill>
          <bgColor theme="7" tint="0.59996337778862885"/>
        </patternFill>
      </fill>
    </dxf>
    <dxf>
      <fill>
        <patternFill>
          <bgColor rgb="FFFF0000"/>
        </patternFill>
      </fill>
    </dxf>
    <dxf>
      <fill>
        <patternFill>
          <bgColor rgb="FFFF9999"/>
        </patternFill>
      </fill>
    </dxf>
    <dxf>
      <fill>
        <patternFill>
          <bgColor theme="7" tint="0.39994506668294322"/>
        </patternFill>
      </fill>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14" formatCode="0.00%"/>
      <fill>
        <patternFill patternType="none">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14" formatCode="0.00%"/>
      <fill>
        <patternFill patternType="none">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0" formatCode="General"/>
      <fill>
        <patternFill patternType="none">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6" formatCode="0.0%"/>
      <fill>
        <patternFill patternType="none">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9" formatCode="d/mm/yyyy"/>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family val="2"/>
        <scheme val="none"/>
      </font>
      <numFmt numFmtId="166" formatCode="0.0%"/>
      <fill>
        <patternFill patternType="none">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numFmt numFmtId="165" formatCode="dd/mm/yyyy;@"/>
      <fill>
        <patternFill patternType="none">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numFmt numFmtId="165" formatCode="dd/mm/yyyy;@"/>
      <fill>
        <patternFill patternType="none">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numFmt numFmtId="19" formatCode="d/mm/yyyy"/>
      <fill>
        <patternFill patternType="none">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numFmt numFmtId="19" formatCode="d/mm/yyyy"/>
      <fill>
        <patternFill patternType="none">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auto="1"/>
        </patternFill>
      </fill>
      <alignment horizontal="right"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numFmt numFmtId="164" formatCode="#,##0;[Red]#,##0"/>
      <fill>
        <patternFill patternType="none">
          <fgColor indexed="64"/>
          <bgColor auto="1"/>
        </patternFill>
      </fill>
      <alignment horizontal="right"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32" formatCode="_-&quot;$&quot;\ * #,##0_-;\-&quot;$&quot;\ * #,##0_-;_-&quot;$&quot;\ * &quot;-&quot;_-;_-@_-"/>
      <fill>
        <patternFill patternType="none">
          <fgColor indexed="64"/>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32" formatCode="_-&quot;$&quot;\ * #,##0_-;\-&quot;$&quot;\ * #,##0_-;_-&quot;$&quot;\ * &quot;-&quot;_-;_-@_-"/>
      <fill>
        <patternFill patternType="none">
          <fgColor indexed="64"/>
          <bgColor auto="1"/>
        </patternFill>
      </fill>
      <alignment horizontal="right"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right"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numFmt numFmtId="32" formatCode="_-&quot;$&quot;\ * #,##0_-;\-&quot;$&quot;\ * #,##0_-;_-&quot;$&quot;\ * &quot;-&quot;_-;_-@_-"/>
      <fill>
        <patternFill patternType="solid">
          <fgColor indexed="64"/>
          <bgColor rgb="FFCC66FF"/>
        </patternFill>
      </fill>
      <alignment horizontal="general" vertical="center" textRotation="0" wrapText="1" indent="0" justifyLastLine="0" shrinkToFit="0" readingOrder="0"/>
      <protection locked="0" hidden="0"/>
    </dxf>
    <dxf>
      <font>
        <strike val="0"/>
        <outline val="0"/>
        <shadow val="0"/>
        <u val="none"/>
        <vertAlign val="baseline"/>
        <sz val="11"/>
        <name val="Calibri"/>
        <family val="2"/>
        <scheme val="none"/>
      </font>
      <fill>
        <patternFill patternType="none">
          <fgColor indexed="64"/>
          <bgColor auto="1"/>
        </patternFill>
      </fill>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Calibri"/>
        <family val="2"/>
        <scheme val="none"/>
      </font>
      <fill>
        <patternFill patternType="none">
          <bgColor auto="1"/>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protection locked="1" hidden="0"/>
    </dxf>
    <dxf>
      <font>
        <strike val="0"/>
        <outline val="0"/>
        <shadow val="0"/>
        <u val="none"/>
        <vertAlign val="baseline"/>
        <sz val="11"/>
      </font>
      <fill>
        <patternFill patternType="none">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family val="2"/>
        <scheme val="none"/>
      </font>
      <fill>
        <patternFill patternType="none">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border outline="0">
        <top style="medium">
          <color auto="1"/>
        </top>
        <bottom style="thin">
          <color rgb="FF000000"/>
        </bottom>
      </border>
    </dxf>
    <dxf>
      <font>
        <b val="0"/>
        <i val="0"/>
        <strike val="0"/>
        <condense val="0"/>
        <extend val="0"/>
        <outline val="0"/>
        <shadow val="0"/>
        <u val="none"/>
        <vertAlign val="baseline"/>
        <sz val="11"/>
        <color rgb="FF000000"/>
        <name val="Calibri"/>
        <family val="2"/>
        <scheme val="none"/>
      </font>
      <fill>
        <patternFill patternType="none">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indexed="9"/>
        <name val="Calibr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numFmt numFmtId="14" formatCode="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numFmt numFmtId="14" formatCode="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9" formatCode="d/mm/yyyy"/>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family val="2"/>
        <scheme val="none"/>
      </font>
      <numFmt numFmtId="166" formatCode="0.0%"/>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165" formatCode="dd/mm/yyyy;@"/>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19" formatCode="d/mm/yyyy"/>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19" formatCode="d/mm/yyyy"/>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auto="1"/>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164" formatCode="#,##0;[Red]#,##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164" formatCode="#,##0;[Red]#,##0"/>
      <fill>
        <patternFill patternType="none">
          <fgColor indexed="64"/>
          <bgColor auto="1"/>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32" formatCode="_-&quot;$&quot;\ * #,##0_-;\-&quot;$&quot;\ * #,##0_-;_-&quot;$&quot;\ * &quot;-&quot;_-;_-@_-"/>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32" formatCode="_-&quot;$&quot;\ * #,##0_-;\-&quot;$&quot;\ * #,##0_-;_-&quot;$&quot;\ * &quot;-&quot;_-;_-@_-"/>
      <fill>
        <patternFill patternType="none">
          <fgColor indexed="64"/>
          <bgColor auto="1"/>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0"/>
        <color theme="1"/>
        <name val="Calibri"/>
        <family val="2"/>
        <scheme val="none"/>
      </font>
      <numFmt numFmtId="32" formatCode="_-&quot;$&quot;\ * #,##0_-;\-&quot;$&quot;\ * #,##0_-;_-&quot;$&quot;\ * &quot;-&quot;_-;_-@_-"/>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none"/>
      </font>
      <fill>
        <patternFill patternType="none">
          <fgColor indexed="64"/>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center" textRotation="0" wrapText="1" indent="0" justifyLastLine="0" shrinkToFit="0" readingOrder="0"/>
      <protection locked="1" hidden="0"/>
    </dxf>
    <dxf>
      <font>
        <strike val="0"/>
        <outline val="0"/>
        <shadow val="0"/>
        <u val="none"/>
        <vertAlign val="baseline"/>
        <sz val="11"/>
      </font>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indexed="64"/>
          <bgColor rgb="FFCC66FF"/>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border outline="0">
        <top style="medium">
          <color auto="1"/>
        </top>
        <bottom style="thin">
          <color rgb="FF000000"/>
        </bottom>
      </border>
    </dxf>
    <dxf>
      <font>
        <b val="0"/>
        <i val="0"/>
        <strike val="0"/>
        <condense val="0"/>
        <extend val="0"/>
        <outline val="0"/>
        <shadow val="0"/>
        <u val="none"/>
        <vertAlign val="baseline"/>
        <sz val="11"/>
        <color rgb="FF000000"/>
        <name val="Calibri"/>
        <family val="2"/>
        <scheme val="none"/>
      </font>
      <fill>
        <patternFill patternType="none">
          <bgColor auto="1"/>
        </patternFill>
      </fill>
      <alignment horizontal="general" vertical="center" textRotation="0" wrapText="1" indent="0" justifyLastLine="0" shrinkToFit="0" readingOrder="0"/>
      <protection locked="1" hidden="0"/>
    </dxf>
    <dxf>
      <border>
        <bottom style="medium">
          <color theme="0" tint="-0.24994659260841701"/>
        </bottom>
      </border>
    </dxf>
    <dxf>
      <font>
        <b/>
        <i val="0"/>
        <strike val="0"/>
        <condense val="0"/>
        <extend val="0"/>
        <outline val="0"/>
        <shadow val="0"/>
        <u val="none"/>
        <vertAlign val="baseline"/>
        <sz val="11"/>
        <color indexed="9"/>
        <name val="Calibri"/>
        <family val="2"/>
        <scheme val="none"/>
      </font>
      <fill>
        <patternFill patternType="none">
          <fgColor indexed="64"/>
          <bgColor auto="1"/>
        </patternFill>
      </fill>
      <alignment horizontal="general" vertical="center" textRotation="0" wrapText="1" indent="0" justifyLastLine="0" shrinkToFit="0" readingOrder="0"/>
      <border diagonalUp="0" diagonalDown="0">
        <left style="medium">
          <color theme="0" tint="-0.24994659260841701"/>
        </left>
        <right style="medium">
          <color theme="0" tint="-0.24994659260841701"/>
        </right>
        <top/>
        <bottom/>
        <vertical style="medium">
          <color theme="0" tint="-0.24994659260841701"/>
        </vertical>
        <horizontal/>
      </border>
      <protection locked="1" hidden="0"/>
    </dxf>
  </dxfs>
  <tableStyles count="0" defaultTableStyle="TableStyleMedium2" defaultPivotStyle="PivotStyleLight16"/>
  <colors>
    <mruColors>
      <color rgb="FF9B4CBA"/>
      <color rgb="FFFF99FF"/>
      <color rgb="FFC0C0C0"/>
      <color rgb="FFFF3399"/>
      <color rgb="FFFF33CC"/>
      <color rgb="FFCC66FF"/>
      <color rgb="FFFFCCFF"/>
      <color rgb="FF95E069"/>
      <color rgb="FFFF66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microsoft.com/office/2007/relationships/slicerCache" Target="slicerCaches/slicerCach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1</xdr:col>
      <xdr:colOff>327880</xdr:colOff>
      <xdr:row>0</xdr:row>
      <xdr:rowOff>47625</xdr:rowOff>
    </xdr:from>
    <xdr:to>
      <xdr:col>6</xdr:col>
      <xdr:colOff>393844</xdr:colOff>
      <xdr:row>0</xdr:row>
      <xdr:rowOff>920750</xdr:rowOff>
    </xdr:to>
    <mc:AlternateContent xmlns:mc="http://schemas.openxmlformats.org/markup-compatibility/2006" xmlns:sle15="http://schemas.microsoft.com/office/drawing/2012/slicer">
      <mc:Choice Requires="sle15">
        <xdr:graphicFrame macro="">
          <xdr:nvGraphicFramePr>
            <xdr:cNvPr id="3" name="VICEPRESIDENCIA 2">
              <a:extLst>
                <a:ext uri="{FF2B5EF4-FFF2-40B4-BE49-F238E27FC236}">
                  <a16:creationId xmlns:a16="http://schemas.microsoft.com/office/drawing/2014/main" id="{39FCE95D-6F1B-4A1F-A525-E1669720539B}"/>
                </a:ext>
              </a:extLst>
            </xdr:cNvPr>
            <xdr:cNvGraphicFramePr/>
          </xdr:nvGraphicFramePr>
          <xdr:xfrm>
            <a:off x="0" y="0"/>
            <a:ext cx="0" cy="0"/>
          </xdr:xfrm>
          <a:graphic>
            <a:graphicData uri="http://schemas.microsoft.com/office/drawing/2010/slicer">
              <sle:slicer xmlns:sle="http://schemas.microsoft.com/office/drawing/2010/slicer" name="VICEPRESIDENCIA 2"/>
            </a:graphicData>
          </a:graphic>
        </xdr:graphicFrame>
      </mc:Choice>
      <mc:Fallback xmlns="">
        <xdr:sp macro="" textlink="">
          <xdr:nvSpPr>
            <xdr:cNvPr id="0" name=""/>
            <xdr:cNvSpPr>
              <a:spLocks noTextEdit="1"/>
            </xdr:cNvSpPr>
          </xdr:nvSpPr>
          <xdr:spPr>
            <a:xfrm>
              <a:off x="1129568" y="47625"/>
              <a:ext cx="6281026" cy="873125"/>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D54A47FB-F06C-449E-B5FE-164BA3B5A923}"/>
  <namedSheetView name="Vista 2" id="{769ECEA4-5C61-46CA-8EA4-C88A81846961}"/>
  <namedSheetView name="Vista 3" id="{93E146EF-0125-43C9-9277-BEF0BFE3BCB4}"/>
  <namedSheetView name="Vista 4" id="{B597A221-9299-43EB-94C9-CDB5BBFF6F5A}"/>
  <namedSheetView name="Vista 5" id="{D4B0208C-364C-4B2E-8525-EAF521A80468}"/>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F71F120E-5F69-4BBB-873D-AA9B51BF8584}"/>
  <namedSheetView name="Vista 2" id="{6FBE84F4-4481-4E4C-8777-D6F57726FFD5}"/>
  <namedSheetView name="Vista 3" id="{4AD4EA11-538F-4A9C-849E-1CA10F85C317}"/>
  <namedSheetView name="Vista 4" id="{B5E5DB79-C7F7-4DA4-94D2-9D2AE05F83B6}"/>
  <namedSheetView name="Vista 5" id="{FDADBAB3-E57F-4E58-9664-ADE377DA4D2C}"/>
  <namedSheetView name="Vista 6" id="{12326D75-D033-4784-AA9C-3F9177240A0F}"/>
  <namedSheetView name="Vista 7" id="{9301AB4B-3943-4D0A-A84C-D34823D69468}"/>
</namedSheetViews>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VICEPRESIDENCIA2" xr10:uid="{6466BE75-6344-4A10-ABAE-D764B83B9F93}" sourceName="VICEPRESIDENCIA">
  <extLst>
    <x:ext xmlns:x15="http://schemas.microsoft.com/office/spreadsheetml/2010/11/main" uri="{2F2917AC-EB37-4324-AD4E-5DD8C200BD13}">
      <x15:tableSlicerCache tableId="1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VICEPRESIDENCIA 2" xr10:uid="{4B15C624-1CC2-4886-888C-D2593F5EDF04}" cache="SegmentaciónDeDatos_VICEPRESIDENCIA2" caption="VICEPRESIDENCIA" columnCount="3" style="SlicerStyleDark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F9315A9-A7D7-4CFA-894A-0E208324D35C}" name="Tabla1513" displayName="Tabla1513" ref="A2:AH364" totalsRowCount="1" headerRowDxfId="155" dataDxfId="153" totalsRowDxfId="151" headerRowBorderDxfId="154" tableBorderDxfId="152">
  <autoFilter ref="A2:AH363" xr:uid="{CB3AD687-7584-4110-A215-4ECC1DF649D6}"/>
  <tableColumns count="34">
    <tableColumn id="18" xr3:uid="{877942F1-C2BE-4891-95E0-4B8B80E15632}" name="CM / SUC." totalsRowFunction="count" dataDxfId="150" totalsRowDxfId="39"/>
    <tableColumn id="1" xr3:uid="{3340515B-4FC5-4A57-A9DB-F0C2A5BF8ED1}" name="VICEPRESIDENCIA" totalsRowFunction="count" dataDxfId="149" totalsRowDxfId="38"/>
    <tableColumn id="2" xr3:uid="{A52DC4EC-02C4-4DCA-AD0A-B6E61FEE7AA8}" name="ÁREA QUE CONTRATA " totalsRowFunction="count" dataDxfId="148" totalsRowDxfId="37"/>
    <tableColumn id="26" xr3:uid="{FF08F505-16D2-45DC-8323-DD2D11A43D5A}" name="MODALIDAD CONTRATACIÓN" totalsRowFunction="count" dataDxfId="147" totalsRowDxfId="36"/>
    <tableColumn id="3" xr3:uid="{CADA9439-F50D-49D6-8AE6-BC68B0D796D7}" name="NÚMERO DE CONTRATO" totalsRowFunction="count" dataDxfId="146" totalsRowDxfId="35"/>
    <tableColumn id="20" xr3:uid="{BA874ED6-2FC4-41E5-884D-F684EDD25CD5}" name="FECHA SUSCRIPCIÓN CONTRATO" totalsRowFunction="count" dataDxfId="145" totalsRowDxfId="34"/>
    <tableColumn id="4" xr3:uid="{B319458B-FAAB-4621-8DF4-477BD6202043}" name="CLASE DE CONTRATO" totalsRowFunction="count" dataDxfId="144" totalsRowDxfId="33"/>
    <tableColumn id="5" xr3:uid="{109F4E99-006C-4EC4-826B-C38FA698F4D8}" name="OBJETO DEL CONTRATO" totalsRowFunction="count" dataDxfId="143" totalsRowDxfId="32"/>
    <tableColumn id="35" xr3:uid="{2F045F43-EB33-4C20-AE19-8DA18D44A1A1}" name="VALOR INICIAL DEL CONTRATO_x000a_SIN IVA_x000a_ (en pesos) " totalsRowFunction="sum" dataDxfId="142" totalsRowDxfId="31"/>
    <tableColumn id="36" xr3:uid="{F2B55E52-E4CA-4134-B770-EE0D87077365}" name="VALOR IVA_x000a_(SI APLICA)" totalsRowFunction="sum" dataDxfId="5" totalsRowDxfId="30"/>
    <tableColumn id="10" xr3:uid="{C6766E54-10CE-44C4-82E8-09BC4019BCA6}" name="VALOR INICIAL DEL CONTRATO CON IVA" totalsRowFunction="sum" dataDxfId="3" totalsRowDxfId="29" dataCellStyle="Moneda [0]"/>
    <tableColumn id="7" xr3:uid="{5161A1B3-F9D2-4621-B559-D054D760454C}" name="TIPO DE IDENTIFICACIÓN CONTRATISTA" totalsRowFunction="count" dataDxfId="4" totalsRowDxfId="28"/>
    <tableColumn id="8" xr3:uid="{B3315715-AE7A-4C1E-B28C-17336ABEB932}" name="NÚMERO IDENTIFICACIÓN" totalsRowFunction="count" dataDxfId="141" totalsRowDxfId="27"/>
    <tableColumn id="9" xr3:uid="{F13D2D2C-FE9C-4481-8962-8D649809600C}" name="CONTRATISTA: DÍGITO DE VERIFICACIÓN (NIT o RUT) " totalsRowFunction="count" dataDxfId="140" totalsRowDxfId="26"/>
    <tableColumn id="6" xr3:uid="{C173B1C5-0084-46B1-9DB4-190591A6FD14}" name="NOMBRE / RAZÓN SOCIAL DEL CONTRATISTA" totalsRowFunction="count" dataDxfId="139" totalsRowDxfId="25"/>
    <tableColumn id="32" xr3:uid="{AF5732DB-7966-4F30-91C8-DA941BB01B0C}" name="ADICIONES_x000a_(SI / NO)" totalsRowFunction="count" dataDxfId="138" totalsRowDxfId="24"/>
    <tableColumn id="11" xr3:uid="{F317C9AB-AD0B-4CEE-8917-AF352F63E135}" name="VALOR DE LAS ADICIONES CON IVA" totalsRowFunction="sum" dataDxfId="137" totalsRowDxfId="23"/>
    <tableColumn id="25" xr3:uid="{44FD2830-99C1-495E-AA65-93086D547D7E}" name="VALOR TOTAL DEL CONTRATO CON IVA (VALOR INICIAL + ADICIONES) " totalsRowFunction="sum" dataDxfId="136" totalsRowDxfId="22">
      <calculatedColumnFormula>+Tabla1513[[#This Row],[VALOR INICIAL DEL CONTRATO CON IVA]]+Tabla1513[[#This Row],[VALOR DE LAS ADICIONES CON IVA]]</calculatedColumnFormula>
    </tableColumn>
    <tableColumn id="28" xr3:uid="{37B1B6DD-EA38-4D7E-A090-F70707987025}" name="PLAZO DEL CONTRATO (inicial)_x000a_(días)" totalsRowFunction="count" dataDxfId="135" totalsRowDxfId="21"/>
    <tableColumn id="33" xr3:uid="{FF11E3EC-CD38-45CE-BAA9-F46CD564F37E}" name="PRÓRROGA_x000a_(SI / NO)" totalsRowFunction="count" dataDxfId="134" totalsRowDxfId="20"/>
    <tableColumn id="29" xr3:uid="{1B42BED5-8DA4-4D4F-8ADE-0BD709DCFAF9}" name="ADICIONES: NÚMERO DE DÍAS" totalsRowFunction="count" dataDxfId="133" totalsRowDxfId="19"/>
    <tableColumn id="47" xr3:uid="{E54CB220-578F-4B64-9E48-8A1B9AF8CFEE}" name="SUSPENSIÓN (SI/NO)" totalsRowFunction="count" dataDxfId="132" totalsRowDxfId="18" dataCellStyle="Moneda [0]"/>
    <tableColumn id="12" xr3:uid="{7C89AF31-1DFA-4AA6-BE93-219A0B4131C9}" name="FECHA INICIO CONTRATO" totalsRowFunction="count" dataDxfId="131" totalsRowDxfId="17"/>
    <tableColumn id="13" xr3:uid="{98F786DA-F542-4BCF-A801-0E717B2BA4B8}" name="FECHA TERMINACIÓN INICIAL CONTRATO" totalsRowFunction="count" dataDxfId="130" totalsRowDxfId="16"/>
    <tableColumn id="14" xr3:uid="{020D0D67-9FCD-4596-ACC5-08B5DED15447}" name="FECHA FINAL DEL CONTRATO" totalsRowFunction="count" dataDxfId="129" totalsRowDxfId="15"/>
    <tableColumn id="27" xr3:uid="{1B0E5D43-831D-46CD-80E9-1A5C77040741}" name="ESTADO DEL CONTRATO (EN EJECUCIÓN EN LIQUIDACIÓN POR LIQUIDAR NO SE LIQUIDA)" totalsRowFunction="count" dataDxfId="128" totalsRowDxfId="14"/>
    <tableColumn id="19" xr3:uid="{6540665A-4573-468F-98F5-10E6A25F6A8D}" name="FECHA LIQUIDACIÓN DEL CONTRATO" totalsRowFunction="count" dataDxfId="127" totalsRowDxfId="13"/>
    <tableColumn id="30" xr3:uid="{392C415B-0BAD-4B40-8C60-6312ACF59B7A}" name="CAUSAL DE TERMINACIÓN" totalsRowFunction="count" dataDxfId="126" totalsRowDxfId="12"/>
    <tableColumn id="41" xr3:uid="{1879D811-E1B9-4797-AAC8-6939E2538409}" name="RUBRO PRESUPUESTAL ASIGADO (SEPARAR CADA RUBRO CON (&quot;/&quot;)" totalsRowFunction="count" dataDxfId="125" totalsRowDxfId="11"/>
    <tableColumn id="24" xr3:uid="{991CAB3B-5CA0-4B1E-91D0-A03CAC9C0B6F}" name="PORCENTAJE DE EJECUCIÓN FÍSICA 2025" totalsRowFunction="count" dataDxfId="124" totalsRowDxfId="10" dataCellStyle="Porcentaje"/>
    <tableColumn id="22" xr3:uid="{5D67D560-C171-40AA-98E8-2C7095AD1B31}" name="PORCENTAJE DE EJECUCIÓN PRESUPUESTAL" totalsRowFunction="count" dataDxfId="123" totalsRowDxfId="9" dataCellStyle="Porcentaje"/>
    <tableColumn id="21" xr3:uid="{45455F10-B55A-4C69-A84A-797A853FAA9F}" name="VALOR PAGADO (EN PESOS)" totalsRowFunction="sum" dataDxfId="122" totalsRowDxfId="8" dataCellStyle="Moneda [0]"/>
    <tableColumn id="42" xr3:uid="{0EFDAC6C-E3EA-4E96-AF2D-3EA77A876DCF}" name="LINK SECOP I, II _x000a_(SEGÚN APLIQUE)" totalsRowFunction="count" dataDxfId="121" totalsRowDxfId="7" dataCellStyle="Moneda [0]"/>
    <tableColumn id="31" xr3:uid="{6603927F-D039-4246-B39C-3F76292147A8}" name="AÑO SUSCRIPCIÓN" totalsRowFunction="count" dataDxfId="120" totalsRowDxfId="6"/>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959541-FAB6-41EF-ACC4-5D2F56148EC7}" name="Tabla15132" displayName="Tabla15132" ref="A1:AH166" totalsRowCount="1" headerRowDxfId="119" dataDxfId="118" totalsRowDxfId="116" tableBorderDxfId="117">
  <autoFilter ref="A1:AH165" xr:uid="{3F9315A9-A7D7-4CFA-894A-0E208324D35C}"/>
  <tableColumns count="34">
    <tableColumn id="18" xr3:uid="{EFB24A7F-E549-43E2-9CAD-EDB211E063D4}" name="CM / SUC." totalsRowFunction="count" dataDxfId="115" totalsRowDxfId="114"/>
    <tableColumn id="1" xr3:uid="{58E5A72D-CFCB-4C73-A159-6A8C9DA4F4DE}" name="VICEPRESIDENCIA" totalsRowFunction="count" dataDxfId="113" totalsRowDxfId="112"/>
    <tableColumn id="2" xr3:uid="{5B517250-6AF1-4A3E-ADE7-7EE03ACA2550}" name="ÁREA QUE CONTRATA " totalsRowFunction="count" dataDxfId="111" totalsRowDxfId="110"/>
    <tableColumn id="26" xr3:uid="{D9D09B68-E3AC-4579-A8F8-8FF9D80EB82A}" name="MODALIDAD CONTRATACIÓN" totalsRowFunction="count" dataDxfId="109"/>
    <tableColumn id="3" xr3:uid="{C1FF3197-DB4D-40CD-856B-96DC6DFC1A75}" name="NÚMERO DE CONTRATO" totalsRowFunction="count" dataDxfId="108" totalsRowDxfId="107"/>
    <tableColumn id="20" xr3:uid="{E3D7B542-AC59-4A24-BD1E-13A4DD1CA506}" name="FECHA SUSCRIPCIÓN CONTRATO" totalsRowFunction="count" dataDxfId="106" totalsRowDxfId="105"/>
    <tableColumn id="4" xr3:uid="{5AE15896-42D3-4366-8797-70B41A55F9E0}" name="CLASE DE CONTRATO" totalsRowFunction="count" dataDxfId="104" totalsRowDxfId="103"/>
    <tableColumn id="5" xr3:uid="{F5BCDC94-672E-4455-AEF1-5ECF6CFAB7D5}" name="OBJETO DEL CONTRATO" totalsRowFunction="count" dataDxfId="102" totalsRowDxfId="101"/>
    <tableColumn id="35" xr3:uid="{E8DC7234-4342-4786-A665-743C0D524A58}" name="VALOR INICIAL DEL CONTRATO_x000a_SIN IVA_x000a_ (en pesos) " totalsRowFunction="sum" dataDxfId="100" totalsRowDxfId="99"/>
    <tableColumn id="36" xr3:uid="{EC5E73B2-6F89-4BC8-9323-411249C99876}" name="VALOR IVA_x000a_(SI APLICA)" totalsRowFunction="sum" dataDxfId="2" totalsRowDxfId="98"/>
    <tableColumn id="10" xr3:uid="{079451F6-E1DE-4196-9D44-7AFE3C43B4D5}" name="VALOR INICIAL DEL CONTRATO CON IVA" totalsRowFunction="sum" dataDxfId="0" totalsRowDxfId="97" dataCellStyle="Moneda [0]"/>
    <tableColumn id="7" xr3:uid="{DA010F25-6684-4C62-9860-2D92ADB5FB06}" name="TIPO DE IDENTIFICACIÓN CONTRATISTA" totalsRowFunction="count" dataDxfId="1" totalsRowDxfId="96"/>
    <tableColumn id="8" xr3:uid="{CDE48DBD-72FD-40B2-AA94-A26F26D1D4BE}" name="NÚMERO IDENTIFICACIÓN" totalsRowFunction="count" dataDxfId="95" totalsRowDxfId="94"/>
    <tableColumn id="9" xr3:uid="{78348713-F954-4954-A7B7-E0A2CA5428DF}" name="CONTRATISTA: DÍGITO DE VERIFICACIÓN (NIT o RUT) " totalsRowFunction="count" dataDxfId="93" totalsRowDxfId="92"/>
    <tableColumn id="6" xr3:uid="{15B8D721-4567-41E3-BCD8-BB5B3B510961}" name="NOMBRE / RAZÓN SOCIAL DEL CONTRATISTA" totalsRowFunction="count" dataDxfId="91" totalsRowDxfId="90"/>
    <tableColumn id="32" xr3:uid="{99A24432-31E3-48C0-916E-6A1140270BAC}" name="ADICIONES_x000a_(SI / NO)" totalsRowFunction="count" dataDxfId="89" totalsRowDxfId="88"/>
    <tableColumn id="11" xr3:uid="{5B128806-6367-4A19-8B28-9D61F8795BFC}" name="VALOR DE LAS ADICIONES CON IVA" totalsRowFunction="sum" dataDxfId="87" totalsRowDxfId="86"/>
    <tableColumn id="25" xr3:uid="{AED531C3-9493-4A99-86EE-8A368A905752}" name="VALOR TOTAL DEL CONTRATO CON IVA (VALOR INICIAL + ADICIONES) " totalsRowFunction="sum" dataDxfId="85" totalsRowDxfId="84">
      <calculatedColumnFormula>+Tabla15132[[#This Row],[VALOR INICIAL DEL CONTRATO CON IVA]]+Tabla15132[[#This Row],[VALOR DE LAS ADICIONES CON IVA]]</calculatedColumnFormula>
    </tableColumn>
    <tableColumn id="28" xr3:uid="{ED858166-9FB9-44B6-A9FB-01F38B0BC010}" name="PLAZO DEL CONTRATO (inicial)_x000a_(días)" totalsRowFunction="count" dataDxfId="83" totalsRowDxfId="82">
      <calculatedColumnFormula>+Tabla15132[[#This Row],[FECHA TERMINACIÓN INICIAL CONTRATO]]-Tabla15132[[#This Row],[FECHA INICIO CONTRATO]]</calculatedColumnFormula>
    </tableColumn>
    <tableColumn id="33" xr3:uid="{AB70F885-FA7E-4C1E-B7AC-7901C96A349F}" name="PRÓRROGA_x000a_(SI / NO)" totalsRowFunction="count" dataDxfId="81" totalsRowDxfId="80"/>
    <tableColumn id="29" xr3:uid="{9053D1A0-E587-4CDE-974D-EC115A679033}" name="ADICIONES: NÚMERO DE DÍAS" totalsRowFunction="count" dataDxfId="79" totalsRowDxfId="78">
      <calculatedColumnFormula>+Tabla15132[[#This Row],[FECHA FINAL DEL CONTRATO]]-Tabla15132[[#This Row],[FECHA TERMINACIÓN INICIAL CONTRATO]]</calculatedColumnFormula>
    </tableColumn>
    <tableColumn id="47" xr3:uid="{BF935B7F-3642-4CA4-BF7E-5E0FDD7CB822}" name="SUSPENSIÓN (SI/NO)" totalsRowFunction="count" dataDxfId="77" totalsRowDxfId="76" dataCellStyle="Moneda [0]"/>
    <tableColumn id="12" xr3:uid="{DD097E0B-614E-4661-A1B5-056EC6925CA4}" name="FECHA INICIO CONTRATO" totalsRowFunction="count" dataDxfId="75" totalsRowDxfId="74"/>
    <tableColumn id="13" xr3:uid="{3E829FC4-1997-4B02-A66C-4C2A916CC732}" name="FECHA TERMINACIÓN INICIAL CONTRATO" totalsRowFunction="count" dataDxfId="73" totalsRowDxfId="72"/>
    <tableColumn id="14" xr3:uid="{59544F89-1244-48CD-BFF6-3D111D81114A}" name="FECHA FINAL DEL CONTRATO" totalsRowFunction="count" dataDxfId="71" totalsRowDxfId="70"/>
    <tableColumn id="40" xr3:uid="{C88A1B71-536C-4226-88FE-EBF5786BFC05}" name="DEPENDENCIA INTERVENTOR O SUPERVISOR" totalsRowFunction="count" dataDxfId="69" totalsRowDxfId="68">
      <calculatedColumnFormula>+Tabla15132[[#This Row],[ÁREA QUE CONTRATA ]]</calculatedColumnFormula>
    </tableColumn>
    <tableColumn id="27" xr3:uid="{64ECF2C7-97AF-44EF-A2CB-FA4B2DE21A01}" name="ESTADO DEL CONTRATO (EN EJECUCIÓN EN LIQUIDACIÓN POR LIQUIDAR NO SE LIQUIDA)" totalsRowFunction="count" dataDxfId="67" totalsRowDxfId="66"/>
    <tableColumn id="19" xr3:uid="{A1F1B5A0-A5BF-41EF-83D5-0C752D811BD0}" name="FECHA LIQUIDACIÓN DEL CONTRATO" totalsRowFunction="count" dataDxfId="65" totalsRowDxfId="64"/>
    <tableColumn id="30" xr3:uid="{F6A4E289-DA40-43B7-BB85-500BE4235A14}" name="CAUSAL DE TERMINACIÓN" totalsRowFunction="count" dataDxfId="63" totalsRowDxfId="62"/>
    <tableColumn id="41" xr3:uid="{46176A43-0461-441E-8C0D-4E71AB19BDEB}" name="RUBRO PRESUPUESTAL ASIGADO (SEPARAR CADA RUBRO CON (&quot;/&quot;)" totalsRowFunction="count" dataDxfId="61" totalsRowDxfId="60"/>
    <tableColumn id="24" xr3:uid="{AAB4CDD8-9779-4841-BCD7-D5867DEA2C90}" name="PORCENTAJE DE EJECUCIÓN FÍSICA" totalsRowFunction="count" dataDxfId="59" totalsRowDxfId="58" dataCellStyle="Porcentaje"/>
    <tableColumn id="22" xr3:uid="{E44E21E3-0E92-421E-8036-99EDA6543884}" name="PORCENTAJE DE EJECUCIÓN PRESUPUESTAL _x000a_" totalsRowFunction="count" dataDxfId="57" totalsRowDxfId="56" dataCellStyle="Porcentaje"/>
    <tableColumn id="21" xr3:uid="{F910D5A9-17DE-4E66-9864-D020ABF91333}" name="VALOR PAGADO (EN PESOS)_x000a_(TOTAL VR. FACTURAS)" totalsRowFunction="sum" dataDxfId="41" totalsRowDxfId="55" dataCellStyle="Moneda [0]"/>
    <tableColumn id="42" xr3:uid="{F8850E2C-3483-43CA-930D-833C311016F6}" name="LINK CONSULTA SECOP I II _x000a_(SEGÚN APLIQUE)" totalsRowFunction="count" dataDxfId="40" totalsRowDxfId="54" dataCellStyle="Moneda [0]"/>
  </tableColumns>
  <tableStyleInfo name="TableStyleLight18"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microsoft.com/office/2019/04/relationships/namedSheetView" Target="../namedSheetViews/namedSheetView1.xml"/><Relationship Id="rId2" Type="http://schemas.openxmlformats.org/officeDocument/2006/relationships/printerSettings" Target="../printerSettings/printerSettings1.bin"/><Relationship Id="rId1" Type="http://schemas.openxmlformats.org/officeDocument/2006/relationships/hyperlink" Target="https://community.secop.gov.co/Public/Tendering/ContractNoticePhases/View?PPI=CO1.PPI.36069771&amp;isFromPublicArea=True&amp;isModal=False" TargetMode="External"/><Relationship Id="rId6" Type="http://schemas.microsoft.com/office/2007/relationships/slicer" Target="../slicers/slicer1.xml"/><Relationship Id="rId5" Type="http://schemas.openxmlformats.org/officeDocument/2006/relationships/table" Target="../tables/table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ommunity.secop.gov.co/Public/Tendering/ContractNoticePhases/View?PPI=CO1.PPI.41322528&amp;isFromPublicArea=True&amp;isModal=False" TargetMode="External"/><Relationship Id="rId1" Type="http://schemas.openxmlformats.org/officeDocument/2006/relationships/hyperlink" Target="https://community.secop.gov.co/Public/Tendering/ContractNoticePhases/View?PPI=CO1.PPI.40913169&amp;isFromPublicArea=True&amp;isModal=False" TargetMode="External"/><Relationship Id="rId5" Type="http://schemas.microsoft.com/office/2019/04/relationships/namedSheetView" Target="../namedSheetViews/namedSheetView2.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E55A2-9D2E-4C76-BDA9-718766E93BD5}">
  <sheetPr codeName="Hoja1"/>
  <dimension ref="A1:F179"/>
  <sheetViews>
    <sheetView topLeftCell="A33" zoomScale="70" zoomScaleNormal="70" workbookViewId="0">
      <selection activeCell="G61" sqref="G1:O1048576"/>
    </sheetView>
  </sheetViews>
  <sheetFormatPr baseColWidth="10" defaultColWidth="11.453125" defaultRowHeight="14.5" x14ac:dyDescent="0.35"/>
  <cols>
    <col min="1" max="1" width="43.81640625" customWidth="1"/>
    <col min="2" max="2" width="35.26953125" customWidth="1"/>
    <col min="3" max="3" width="56.26953125" bestFit="1" customWidth="1"/>
    <col min="4" max="4" width="66.453125" customWidth="1"/>
    <col min="5" max="5" width="36.1796875" customWidth="1"/>
    <col min="6" max="6" width="42.453125" customWidth="1"/>
  </cols>
  <sheetData>
    <row r="1" spans="1:4" x14ac:dyDescent="0.35">
      <c r="A1" s="6" t="s">
        <v>0</v>
      </c>
      <c r="C1" s="8" t="s">
        <v>1</v>
      </c>
      <c r="D1" s="8" t="s">
        <v>2</v>
      </c>
    </row>
    <row r="2" spans="1:4" x14ac:dyDescent="0.35">
      <c r="A2" s="6" t="s">
        <v>3</v>
      </c>
      <c r="C2" s="9" t="s">
        <v>4</v>
      </c>
      <c r="D2" s="9" t="s">
        <v>5</v>
      </c>
    </row>
    <row r="3" spans="1:4" x14ac:dyDescent="0.35">
      <c r="A3" s="6" t="s">
        <v>6</v>
      </c>
      <c r="C3" s="9" t="s">
        <v>4</v>
      </c>
      <c r="D3" s="9" t="s">
        <v>7</v>
      </c>
    </row>
    <row r="4" spans="1:4" x14ac:dyDescent="0.35">
      <c r="A4" s="6" t="s">
        <v>8</v>
      </c>
      <c r="C4" s="9" t="s">
        <v>4</v>
      </c>
      <c r="D4" s="9" t="s">
        <v>9</v>
      </c>
    </row>
    <row r="5" spans="1:4" x14ac:dyDescent="0.35">
      <c r="A5" s="6" t="s">
        <v>10</v>
      </c>
      <c r="C5" s="9" t="s">
        <v>11</v>
      </c>
      <c r="D5" s="9" t="s">
        <v>12</v>
      </c>
    </row>
    <row r="6" spans="1:4" x14ac:dyDescent="0.35">
      <c r="A6" s="6" t="s">
        <v>13</v>
      </c>
      <c r="C6" s="9" t="s">
        <v>11</v>
      </c>
      <c r="D6" s="9" t="s">
        <v>14</v>
      </c>
    </row>
    <row r="7" spans="1:4" x14ac:dyDescent="0.35">
      <c r="A7" s="6" t="s">
        <v>15</v>
      </c>
      <c r="C7" s="9" t="s">
        <v>11</v>
      </c>
      <c r="D7" s="9" t="s">
        <v>16</v>
      </c>
    </row>
    <row r="8" spans="1:4" x14ac:dyDescent="0.35">
      <c r="A8" s="6" t="s">
        <v>17</v>
      </c>
      <c r="C8" s="9" t="s">
        <v>11</v>
      </c>
      <c r="D8" s="9" t="s">
        <v>18</v>
      </c>
    </row>
    <row r="9" spans="1:4" x14ac:dyDescent="0.35">
      <c r="C9" s="9" t="s">
        <v>11</v>
      </c>
      <c r="D9" s="9" t="s">
        <v>19</v>
      </c>
    </row>
    <row r="10" spans="1:4" x14ac:dyDescent="0.35">
      <c r="C10" s="9" t="s">
        <v>11</v>
      </c>
      <c r="D10" s="9" t="s">
        <v>20</v>
      </c>
    </row>
    <row r="11" spans="1:4" x14ac:dyDescent="0.35">
      <c r="C11" s="9" t="s">
        <v>21</v>
      </c>
      <c r="D11" s="9" t="s">
        <v>22</v>
      </c>
    </row>
    <row r="12" spans="1:4" x14ac:dyDescent="0.35">
      <c r="C12" s="9" t="s">
        <v>21</v>
      </c>
      <c r="D12" s="9" t="s">
        <v>23</v>
      </c>
    </row>
    <row r="13" spans="1:4" x14ac:dyDescent="0.35">
      <c r="C13" s="9" t="s">
        <v>21</v>
      </c>
      <c r="D13" s="9" t="s">
        <v>24</v>
      </c>
    </row>
    <row r="14" spans="1:4" x14ac:dyDescent="0.35">
      <c r="C14" s="9" t="s">
        <v>21</v>
      </c>
      <c r="D14" s="9" t="s">
        <v>25</v>
      </c>
    </row>
    <row r="15" spans="1:4" x14ac:dyDescent="0.35">
      <c r="C15" s="9" t="s">
        <v>21</v>
      </c>
      <c r="D15" s="9" t="s">
        <v>26</v>
      </c>
    </row>
    <row r="16" spans="1:4" x14ac:dyDescent="0.35">
      <c r="C16" s="9" t="s">
        <v>21</v>
      </c>
      <c r="D16" s="9" t="s">
        <v>27</v>
      </c>
    </row>
    <row r="17" spans="3:4" x14ac:dyDescent="0.35">
      <c r="C17" s="9" t="s">
        <v>21</v>
      </c>
      <c r="D17" s="9" t="s">
        <v>28</v>
      </c>
    </row>
    <row r="18" spans="3:4" x14ac:dyDescent="0.35">
      <c r="C18" s="9" t="s">
        <v>21</v>
      </c>
      <c r="D18" s="9" t="s">
        <v>29</v>
      </c>
    </row>
    <row r="19" spans="3:4" x14ac:dyDescent="0.35">
      <c r="C19" s="9" t="s">
        <v>21</v>
      </c>
      <c r="D19" s="9" t="s">
        <v>30</v>
      </c>
    </row>
    <row r="20" spans="3:4" x14ac:dyDescent="0.35">
      <c r="C20" s="9" t="s">
        <v>31</v>
      </c>
      <c r="D20" s="10" t="s">
        <v>32</v>
      </c>
    </row>
    <row r="21" spans="3:4" x14ac:dyDescent="0.35">
      <c r="C21" s="9" t="s">
        <v>31</v>
      </c>
      <c r="D21" s="10" t="s">
        <v>33</v>
      </c>
    </row>
    <row r="22" spans="3:4" x14ac:dyDescent="0.35">
      <c r="C22" s="9" t="s">
        <v>31</v>
      </c>
      <c r="D22" s="10" t="s">
        <v>34</v>
      </c>
    </row>
    <row r="23" spans="3:4" x14ac:dyDescent="0.35">
      <c r="C23" s="9" t="s">
        <v>31</v>
      </c>
      <c r="D23" s="10" t="s">
        <v>35</v>
      </c>
    </row>
    <row r="24" spans="3:4" x14ac:dyDescent="0.35">
      <c r="C24" s="9" t="s">
        <v>31</v>
      </c>
      <c r="D24" s="10" t="s">
        <v>36</v>
      </c>
    </row>
    <row r="25" spans="3:4" x14ac:dyDescent="0.35">
      <c r="C25" s="9" t="s">
        <v>31</v>
      </c>
      <c r="D25" s="10" t="s">
        <v>37</v>
      </c>
    </row>
    <row r="26" spans="3:4" x14ac:dyDescent="0.35">
      <c r="C26" s="9" t="s">
        <v>31</v>
      </c>
      <c r="D26" s="10" t="s">
        <v>38</v>
      </c>
    </row>
    <row r="27" spans="3:4" x14ac:dyDescent="0.35">
      <c r="C27" s="9" t="s">
        <v>31</v>
      </c>
      <c r="D27" s="10" t="s">
        <v>39</v>
      </c>
    </row>
    <row r="28" spans="3:4" x14ac:dyDescent="0.35">
      <c r="C28" s="9" t="s">
        <v>31</v>
      </c>
      <c r="D28" s="10" t="s">
        <v>40</v>
      </c>
    </row>
    <row r="29" spans="3:4" x14ac:dyDescent="0.35">
      <c r="C29" s="9" t="s">
        <v>31</v>
      </c>
      <c r="D29" s="10" t="s">
        <v>41</v>
      </c>
    </row>
    <row r="30" spans="3:4" x14ac:dyDescent="0.35">
      <c r="C30" s="9" t="s">
        <v>10</v>
      </c>
      <c r="D30" s="10" t="s">
        <v>42</v>
      </c>
    </row>
    <row r="31" spans="3:4" x14ac:dyDescent="0.35">
      <c r="C31" s="9" t="s">
        <v>10</v>
      </c>
      <c r="D31" s="10" t="s">
        <v>43</v>
      </c>
    </row>
    <row r="32" spans="3:4" x14ac:dyDescent="0.35">
      <c r="C32" s="9" t="s">
        <v>10</v>
      </c>
      <c r="D32" s="10" t="s">
        <v>44</v>
      </c>
    </row>
    <row r="33" spans="3:4" x14ac:dyDescent="0.35">
      <c r="C33" s="9" t="s">
        <v>10</v>
      </c>
      <c r="D33" s="10" t="s">
        <v>45</v>
      </c>
    </row>
    <row r="34" spans="3:4" x14ac:dyDescent="0.35">
      <c r="C34" s="9" t="s">
        <v>10</v>
      </c>
      <c r="D34" s="10" t="s">
        <v>46</v>
      </c>
    </row>
    <row r="35" spans="3:4" x14ac:dyDescent="0.35">
      <c r="C35" s="9" t="s">
        <v>10</v>
      </c>
      <c r="D35" s="10" t="s">
        <v>47</v>
      </c>
    </row>
    <row r="36" spans="3:4" x14ac:dyDescent="0.35">
      <c r="C36" s="9" t="s">
        <v>10</v>
      </c>
      <c r="D36" s="10" t="s">
        <v>48</v>
      </c>
    </row>
    <row r="37" spans="3:4" x14ac:dyDescent="0.35">
      <c r="C37" s="9" t="s">
        <v>10</v>
      </c>
      <c r="D37" s="10" t="s">
        <v>49</v>
      </c>
    </row>
    <row r="38" spans="3:4" x14ac:dyDescent="0.35">
      <c r="C38" s="11" t="s">
        <v>10</v>
      </c>
      <c r="D38" s="10" t="s">
        <v>50</v>
      </c>
    </row>
    <row r="39" spans="3:4" x14ac:dyDescent="0.35">
      <c r="C39" s="9" t="s">
        <v>13</v>
      </c>
      <c r="D39" s="9" t="s">
        <v>51</v>
      </c>
    </row>
    <row r="40" spans="3:4" x14ac:dyDescent="0.35">
      <c r="C40" s="9" t="s">
        <v>13</v>
      </c>
      <c r="D40" s="10" t="s">
        <v>52</v>
      </c>
    </row>
    <row r="41" spans="3:4" x14ac:dyDescent="0.35">
      <c r="C41" s="9" t="s">
        <v>13</v>
      </c>
      <c r="D41" s="10" t="s">
        <v>53</v>
      </c>
    </row>
    <row r="42" spans="3:4" x14ac:dyDescent="0.35">
      <c r="C42" s="9" t="s">
        <v>13</v>
      </c>
      <c r="D42" s="10" t="s">
        <v>54</v>
      </c>
    </row>
    <row r="43" spans="3:4" x14ac:dyDescent="0.35">
      <c r="C43" s="9" t="s">
        <v>13</v>
      </c>
      <c r="D43" s="10" t="s">
        <v>55</v>
      </c>
    </row>
    <row r="44" spans="3:4" x14ac:dyDescent="0.35">
      <c r="C44" s="9" t="s">
        <v>13</v>
      </c>
      <c r="D44" s="10" t="s">
        <v>56</v>
      </c>
    </row>
    <row r="45" spans="3:4" x14ac:dyDescent="0.35">
      <c r="C45" s="9" t="s">
        <v>13</v>
      </c>
      <c r="D45" s="10" t="s">
        <v>57</v>
      </c>
    </row>
    <row r="46" spans="3:4" x14ac:dyDescent="0.35">
      <c r="C46" s="9" t="s">
        <v>13</v>
      </c>
      <c r="D46" s="10" t="s">
        <v>58</v>
      </c>
    </row>
    <row r="47" spans="3:4" x14ac:dyDescent="0.35">
      <c r="C47" s="11" t="s">
        <v>13</v>
      </c>
      <c r="D47" s="9" t="s">
        <v>59</v>
      </c>
    </row>
    <row r="48" spans="3:4" x14ac:dyDescent="0.35">
      <c r="C48" s="9" t="s">
        <v>15</v>
      </c>
      <c r="D48" s="10" t="s">
        <v>60</v>
      </c>
    </row>
    <row r="49" spans="3:4" x14ac:dyDescent="0.35">
      <c r="C49" s="9" t="s">
        <v>15</v>
      </c>
      <c r="D49" s="10" t="s">
        <v>61</v>
      </c>
    </row>
    <row r="50" spans="3:4" x14ac:dyDescent="0.35">
      <c r="C50" s="9" t="s">
        <v>15</v>
      </c>
      <c r="D50" s="10" t="s">
        <v>62</v>
      </c>
    </row>
    <row r="51" spans="3:4" x14ac:dyDescent="0.35">
      <c r="C51" s="9" t="s">
        <v>15</v>
      </c>
      <c r="D51" s="10" t="s">
        <v>63</v>
      </c>
    </row>
    <row r="52" spans="3:4" x14ac:dyDescent="0.35">
      <c r="C52" s="9" t="s">
        <v>15</v>
      </c>
      <c r="D52" s="10" t="s">
        <v>64</v>
      </c>
    </row>
    <row r="53" spans="3:4" x14ac:dyDescent="0.35">
      <c r="C53" s="11" t="s">
        <v>15</v>
      </c>
      <c r="D53" s="10" t="s">
        <v>65</v>
      </c>
    </row>
    <row r="54" spans="3:4" x14ac:dyDescent="0.35">
      <c r="C54" s="9" t="s">
        <v>17</v>
      </c>
      <c r="D54" s="9" t="s">
        <v>66</v>
      </c>
    </row>
    <row r="55" spans="3:4" x14ac:dyDescent="0.35">
      <c r="C55" s="9" t="s">
        <v>17</v>
      </c>
      <c r="D55" s="9" t="s">
        <v>67</v>
      </c>
    </row>
    <row r="56" spans="3:4" x14ac:dyDescent="0.35">
      <c r="C56" s="9" t="s">
        <v>17</v>
      </c>
      <c r="D56" s="9" t="s">
        <v>68</v>
      </c>
    </row>
    <row r="57" spans="3:4" x14ac:dyDescent="0.35">
      <c r="C57" s="9" t="s">
        <v>17</v>
      </c>
      <c r="D57" s="9" t="s">
        <v>69</v>
      </c>
    </row>
    <row r="58" spans="3:4" x14ac:dyDescent="0.35">
      <c r="C58" s="9" t="s">
        <v>17</v>
      </c>
      <c r="D58" s="9" t="s">
        <v>70</v>
      </c>
    </row>
    <row r="59" spans="3:4" x14ac:dyDescent="0.35">
      <c r="C59" s="9" t="s">
        <v>17</v>
      </c>
      <c r="D59" s="9" t="s">
        <v>71</v>
      </c>
    </row>
    <row r="60" spans="3:4" x14ac:dyDescent="0.35">
      <c r="C60" s="9" t="s">
        <v>17</v>
      </c>
      <c r="D60" s="9" t="s">
        <v>72</v>
      </c>
    </row>
    <row r="61" spans="3:4" x14ac:dyDescent="0.35">
      <c r="C61" s="9" t="s">
        <v>17</v>
      </c>
      <c r="D61" s="9" t="s">
        <v>73</v>
      </c>
    </row>
    <row r="62" spans="3:4" x14ac:dyDescent="0.35">
      <c r="C62" s="9" t="s">
        <v>17</v>
      </c>
      <c r="D62" s="9" t="s">
        <v>74</v>
      </c>
    </row>
    <row r="63" spans="3:4" x14ac:dyDescent="0.35">
      <c r="C63" s="9" t="s">
        <v>17</v>
      </c>
      <c r="D63" s="9" t="s">
        <v>75</v>
      </c>
    </row>
    <row r="64" spans="3:4" x14ac:dyDescent="0.35">
      <c r="C64" s="9" t="s">
        <v>17</v>
      </c>
      <c r="D64" s="9" t="s">
        <v>76</v>
      </c>
    </row>
    <row r="65" spans="1:6" x14ac:dyDescent="0.35">
      <c r="C65" s="9" t="s">
        <v>17</v>
      </c>
      <c r="D65" s="9" t="s">
        <v>77</v>
      </c>
    </row>
    <row r="66" spans="1:6" x14ac:dyDescent="0.35">
      <c r="C66" s="9" t="s">
        <v>17</v>
      </c>
      <c r="D66" s="9" t="s">
        <v>78</v>
      </c>
    </row>
    <row r="67" spans="1:6" x14ac:dyDescent="0.35">
      <c r="C67" s="9" t="s">
        <v>17</v>
      </c>
      <c r="D67" s="9" t="s">
        <v>79</v>
      </c>
    </row>
    <row r="68" spans="1:6" x14ac:dyDescent="0.35">
      <c r="C68" s="11" t="s">
        <v>17</v>
      </c>
      <c r="D68" s="9" t="s">
        <v>80</v>
      </c>
    </row>
    <row r="72" spans="1:6" x14ac:dyDescent="0.35">
      <c r="A72" t="s">
        <v>81</v>
      </c>
      <c r="B72" t="s">
        <v>82</v>
      </c>
      <c r="C72" t="s">
        <v>83</v>
      </c>
      <c r="D72" t="s">
        <v>84</v>
      </c>
      <c r="E72" t="s">
        <v>85</v>
      </c>
      <c r="F72" t="s">
        <v>86</v>
      </c>
    </row>
    <row r="73" spans="1:6" x14ac:dyDescent="0.35">
      <c r="A73" t="s">
        <v>87</v>
      </c>
      <c r="B73" t="s">
        <v>88</v>
      </c>
      <c r="C73" t="s">
        <v>89</v>
      </c>
      <c r="D73" t="s">
        <v>90</v>
      </c>
      <c r="E73" t="s">
        <v>91</v>
      </c>
      <c r="F73" t="s">
        <v>92</v>
      </c>
    </row>
    <row r="74" spans="1:6" x14ac:dyDescent="0.35">
      <c r="A74" t="s">
        <v>93</v>
      </c>
      <c r="B74" t="s">
        <v>94</v>
      </c>
      <c r="C74" t="s">
        <v>95</v>
      </c>
      <c r="D74" t="s">
        <v>96</v>
      </c>
      <c r="E74" t="s">
        <v>97</v>
      </c>
      <c r="F74" t="s">
        <v>98</v>
      </c>
    </row>
    <row r="75" spans="1:6" x14ac:dyDescent="0.35">
      <c r="A75" t="s">
        <v>99</v>
      </c>
      <c r="B75" t="s">
        <v>100</v>
      </c>
      <c r="C75" t="s">
        <v>101</v>
      </c>
      <c r="D75" t="s">
        <v>102</v>
      </c>
      <c r="E75" t="s">
        <v>103</v>
      </c>
      <c r="F75" t="s">
        <v>104</v>
      </c>
    </row>
    <row r="76" spans="1:6" x14ac:dyDescent="0.35">
      <c r="A76" t="s">
        <v>105</v>
      </c>
      <c r="B76" t="s">
        <v>106</v>
      </c>
      <c r="D76" t="s">
        <v>107</v>
      </c>
      <c r="E76" t="s">
        <v>108</v>
      </c>
    </row>
    <row r="77" spans="1:6" x14ac:dyDescent="0.35">
      <c r="A77" t="s">
        <v>109</v>
      </c>
      <c r="B77" t="s">
        <v>110</v>
      </c>
      <c r="E77" t="s">
        <v>111</v>
      </c>
    </row>
    <row r="78" spans="1:6" x14ac:dyDescent="0.35">
      <c r="A78" t="s">
        <v>112</v>
      </c>
      <c r="B78" t="s">
        <v>113</v>
      </c>
      <c r="E78" t="s">
        <v>114</v>
      </c>
    </row>
    <row r="79" spans="1:6" x14ac:dyDescent="0.35">
      <c r="A79" t="s">
        <v>115</v>
      </c>
      <c r="B79" t="s">
        <v>116</v>
      </c>
      <c r="E79" t="s">
        <v>117</v>
      </c>
    </row>
    <row r="80" spans="1:6" x14ac:dyDescent="0.35">
      <c r="A80" t="s">
        <v>118</v>
      </c>
      <c r="B80" t="s">
        <v>119</v>
      </c>
      <c r="E80" t="s">
        <v>120</v>
      </c>
    </row>
    <row r="81" spans="1:5" x14ac:dyDescent="0.35">
      <c r="A81" t="s">
        <v>121</v>
      </c>
      <c r="B81" t="s">
        <v>122</v>
      </c>
      <c r="E81" t="s">
        <v>123</v>
      </c>
    </row>
    <row r="82" spans="1:5" x14ac:dyDescent="0.35">
      <c r="A82" t="s">
        <v>124</v>
      </c>
      <c r="B82" t="s">
        <v>125</v>
      </c>
      <c r="E82" t="s">
        <v>126</v>
      </c>
    </row>
    <row r="83" spans="1:5" x14ac:dyDescent="0.35">
      <c r="A83" t="s">
        <v>127</v>
      </c>
      <c r="B83" t="s">
        <v>128</v>
      </c>
    </row>
    <row r="84" spans="1:5" x14ac:dyDescent="0.35">
      <c r="A84" t="s">
        <v>129</v>
      </c>
      <c r="B84" t="s">
        <v>130</v>
      </c>
    </row>
    <row r="85" spans="1:5" x14ac:dyDescent="0.35">
      <c r="A85" t="s">
        <v>131</v>
      </c>
      <c r="B85" t="s">
        <v>132</v>
      </c>
    </row>
    <row r="86" spans="1:5" x14ac:dyDescent="0.35">
      <c r="A86" t="s">
        <v>133</v>
      </c>
      <c r="B86" t="s">
        <v>134</v>
      </c>
    </row>
    <row r="87" spans="1:5" x14ac:dyDescent="0.35">
      <c r="A87" t="s">
        <v>135</v>
      </c>
      <c r="B87" t="s">
        <v>136</v>
      </c>
    </row>
    <row r="88" spans="1:5" x14ac:dyDescent="0.35">
      <c r="A88" t="s">
        <v>137</v>
      </c>
      <c r="B88" t="s">
        <v>138</v>
      </c>
    </row>
    <row r="89" spans="1:5" x14ac:dyDescent="0.35">
      <c r="A89" t="s">
        <v>139</v>
      </c>
      <c r="B89" t="s">
        <v>140</v>
      </c>
    </row>
    <row r="90" spans="1:5" x14ac:dyDescent="0.35">
      <c r="A90" t="s">
        <v>141</v>
      </c>
      <c r="B90" t="s">
        <v>142</v>
      </c>
    </row>
    <row r="91" spans="1:5" x14ac:dyDescent="0.35">
      <c r="A91" t="s">
        <v>143</v>
      </c>
      <c r="B91" t="s">
        <v>144</v>
      </c>
    </row>
    <row r="92" spans="1:5" x14ac:dyDescent="0.35">
      <c r="A92" t="s">
        <v>145</v>
      </c>
      <c r="B92" t="s">
        <v>146</v>
      </c>
    </row>
    <row r="93" spans="1:5" x14ac:dyDescent="0.35">
      <c r="A93" t="s">
        <v>147</v>
      </c>
      <c r="B93" t="s">
        <v>148</v>
      </c>
    </row>
    <row r="94" spans="1:5" x14ac:dyDescent="0.35">
      <c r="A94" t="s">
        <v>149</v>
      </c>
      <c r="B94" t="s">
        <v>150</v>
      </c>
    </row>
    <row r="95" spans="1:5" x14ac:dyDescent="0.35">
      <c r="A95" t="s">
        <v>151</v>
      </c>
      <c r="B95" t="s">
        <v>152</v>
      </c>
    </row>
    <row r="96" spans="1:5" x14ac:dyDescent="0.35">
      <c r="A96" t="s">
        <v>153</v>
      </c>
      <c r="B96" t="s">
        <v>154</v>
      </c>
    </row>
    <row r="97" spans="1:2" x14ac:dyDescent="0.35">
      <c r="A97" t="s">
        <v>155</v>
      </c>
      <c r="B97" t="s">
        <v>156</v>
      </c>
    </row>
    <row r="98" spans="1:2" x14ac:dyDescent="0.35">
      <c r="A98" t="s">
        <v>157</v>
      </c>
      <c r="B98" t="s">
        <v>158</v>
      </c>
    </row>
    <row r="99" spans="1:2" x14ac:dyDescent="0.35">
      <c r="A99" t="s">
        <v>159</v>
      </c>
      <c r="B99" t="s">
        <v>160</v>
      </c>
    </row>
    <row r="100" spans="1:2" x14ac:dyDescent="0.35">
      <c r="A100" t="s">
        <v>161</v>
      </c>
      <c r="B100" t="s">
        <v>162</v>
      </c>
    </row>
    <row r="101" spans="1:2" x14ac:dyDescent="0.35">
      <c r="A101" t="s">
        <v>163</v>
      </c>
      <c r="B101" t="s">
        <v>164</v>
      </c>
    </row>
    <row r="102" spans="1:2" x14ac:dyDescent="0.35">
      <c r="A102" t="s">
        <v>165</v>
      </c>
    </row>
    <row r="103" spans="1:2" x14ac:dyDescent="0.35">
      <c r="A103" t="s">
        <v>166</v>
      </c>
    </row>
    <row r="104" spans="1:2" x14ac:dyDescent="0.35">
      <c r="A104" t="s">
        <v>167</v>
      </c>
    </row>
    <row r="105" spans="1:2" x14ac:dyDescent="0.35">
      <c r="A105" t="s">
        <v>168</v>
      </c>
    </row>
    <row r="106" spans="1:2" x14ac:dyDescent="0.35">
      <c r="A106" t="s">
        <v>169</v>
      </c>
    </row>
    <row r="107" spans="1:2" x14ac:dyDescent="0.35">
      <c r="A107" t="s">
        <v>170</v>
      </c>
    </row>
    <row r="108" spans="1:2" x14ac:dyDescent="0.35">
      <c r="A108" t="s">
        <v>171</v>
      </c>
    </row>
    <row r="109" spans="1:2" x14ac:dyDescent="0.35">
      <c r="A109" t="s">
        <v>172</v>
      </c>
    </row>
    <row r="110" spans="1:2" x14ac:dyDescent="0.35">
      <c r="A110" t="s">
        <v>173</v>
      </c>
    </row>
    <row r="111" spans="1:2" x14ac:dyDescent="0.35">
      <c r="A111" t="s">
        <v>174</v>
      </c>
    </row>
    <row r="112" spans="1:2" x14ac:dyDescent="0.35">
      <c r="A112" t="s">
        <v>175</v>
      </c>
    </row>
    <row r="113" spans="1:1" x14ac:dyDescent="0.35">
      <c r="A113" t="s">
        <v>176</v>
      </c>
    </row>
    <row r="114" spans="1:1" x14ac:dyDescent="0.35">
      <c r="A114" t="s">
        <v>177</v>
      </c>
    </row>
    <row r="115" spans="1:1" x14ac:dyDescent="0.35">
      <c r="A115" t="s">
        <v>178</v>
      </c>
    </row>
    <row r="116" spans="1:1" x14ac:dyDescent="0.35">
      <c r="A116" t="s">
        <v>179</v>
      </c>
    </row>
    <row r="117" spans="1:1" x14ac:dyDescent="0.35">
      <c r="A117" t="s">
        <v>180</v>
      </c>
    </row>
    <row r="118" spans="1:1" x14ac:dyDescent="0.35">
      <c r="A118" t="s">
        <v>181</v>
      </c>
    </row>
    <row r="119" spans="1:1" x14ac:dyDescent="0.35">
      <c r="A119" t="s">
        <v>182</v>
      </c>
    </row>
    <row r="120" spans="1:1" x14ac:dyDescent="0.35">
      <c r="A120" t="s">
        <v>183</v>
      </c>
    </row>
    <row r="121" spans="1:1" x14ac:dyDescent="0.35">
      <c r="A121" t="s">
        <v>184</v>
      </c>
    </row>
    <row r="122" spans="1:1" x14ac:dyDescent="0.35">
      <c r="A122" t="s">
        <v>185</v>
      </c>
    </row>
    <row r="136" spans="1:6" x14ac:dyDescent="0.35">
      <c r="A136" s="14" t="s">
        <v>186</v>
      </c>
      <c r="B136">
        <v>5874</v>
      </c>
    </row>
    <row r="137" spans="1:6" x14ac:dyDescent="0.35">
      <c r="A137" s="14" t="s">
        <v>187</v>
      </c>
      <c r="B137" s="12"/>
      <c r="C137" t="s">
        <v>188</v>
      </c>
    </row>
    <row r="138" spans="1:6" x14ac:dyDescent="0.35">
      <c r="A138" s="14" t="s">
        <v>189</v>
      </c>
      <c r="B138" s="12">
        <v>5880</v>
      </c>
    </row>
    <row r="139" spans="1:6" x14ac:dyDescent="0.35">
      <c r="A139" s="14" t="s">
        <v>190</v>
      </c>
      <c r="B139" s="15" t="s">
        <v>191</v>
      </c>
      <c r="C139" t="s">
        <v>192</v>
      </c>
      <c r="D139" s="16" t="s">
        <v>193</v>
      </c>
      <c r="F139" s="16" t="s">
        <v>194</v>
      </c>
    </row>
    <row r="140" spans="1:6" x14ac:dyDescent="0.35">
      <c r="A140" s="17" t="s">
        <v>195</v>
      </c>
      <c r="B140">
        <v>5876</v>
      </c>
      <c r="C140" t="s">
        <v>196</v>
      </c>
    </row>
    <row r="141" spans="1:6" x14ac:dyDescent="0.35">
      <c r="D141" s="18" t="s">
        <v>197</v>
      </c>
      <c r="F141" t="s">
        <v>198</v>
      </c>
    </row>
    <row r="142" spans="1:6" x14ac:dyDescent="0.35">
      <c r="D142" s="18" t="s">
        <v>199</v>
      </c>
      <c r="F142" t="s">
        <v>200</v>
      </c>
    </row>
    <row r="143" spans="1:6" x14ac:dyDescent="0.35">
      <c r="D143" s="18" t="s">
        <v>201</v>
      </c>
      <c r="F143" t="s">
        <v>202</v>
      </c>
    </row>
    <row r="144" spans="1:6" x14ac:dyDescent="0.35">
      <c r="D144" s="18" t="s">
        <v>203</v>
      </c>
      <c r="F144" t="s">
        <v>204</v>
      </c>
    </row>
    <row r="145" spans="1:6" x14ac:dyDescent="0.35">
      <c r="A145" s="14" t="s">
        <v>205</v>
      </c>
      <c r="D145" s="18" t="s">
        <v>206</v>
      </c>
      <c r="F145" t="s">
        <v>207</v>
      </c>
    </row>
    <row r="146" spans="1:6" x14ac:dyDescent="0.35">
      <c r="D146" s="18" t="s">
        <v>208</v>
      </c>
      <c r="F146" t="s">
        <v>209</v>
      </c>
    </row>
    <row r="147" spans="1:6" x14ac:dyDescent="0.35">
      <c r="A147" s="19" t="s">
        <v>210</v>
      </c>
      <c r="D147" s="18" t="s">
        <v>211</v>
      </c>
      <c r="F147" t="s">
        <v>212</v>
      </c>
    </row>
    <row r="148" spans="1:6" x14ac:dyDescent="0.35">
      <c r="D148" s="18" t="s">
        <v>213</v>
      </c>
      <c r="F148" t="s">
        <v>214</v>
      </c>
    </row>
    <row r="149" spans="1:6" x14ac:dyDescent="0.35">
      <c r="D149" s="18" t="s">
        <v>215</v>
      </c>
      <c r="F149" t="s">
        <v>216</v>
      </c>
    </row>
    <row r="150" spans="1:6" x14ac:dyDescent="0.35">
      <c r="A150" t="s">
        <v>217</v>
      </c>
      <c r="B150" s="20">
        <v>122131</v>
      </c>
      <c r="D150" s="18" t="s">
        <v>218</v>
      </c>
      <c r="F150" t="s">
        <v>219</v>
      </c>
    </row>
    <row r="151" spans="1:6" x14ac:dyDescent="0.35">
      <c r="A151" t="s">
        <v>220</v>
      </c>
      <c r="B151" t="s">
        <v>221</v>
      </c>
      <c r="D151" s="18" t="s">
        <v>222</v>
      </c>
      <c r="F151" t="s">
        <v>223</v>
      </c>
    </row>
    <row r="152" spans="1:6" x14ac:dyDescent="0.35">
      <c r="A152" t="s">
        <v>224</v>
      </c>
      <c r="B152" t="s">
        <v>225</v>
      </c>
      <c r="D152" s="18" t="s">
        <v>226</v>
      </c>
      <c r="F152" t="s">
        <v>227</v>
      </c>
    </row>
    <row r="153" spans="1:6" x14ac:dyDescent="0.35">
      <c r="A153" s="12" t="s">
        <v>228</v>
      </c>
      <c r="B153" t="s">
        <v>229</v>
      </c>
      <c r="D153" s="18" t="s">
        <v>230</v>
      </c>
      <c r="F153" t="s">
        <v>231</v>
      </c>
    </row>
    <row r="154" spans="1:6" x14ac:dyDescent="0.35">
      <c r="A154" s="13" t="s">
        <v>232</v>
      </c>
      <c r="B154" s="12" t="s">
        <v>233</v>
      </c>
      <c r="D154" s="18" t="s">
        <v>234</v>
      </c>
      <c r="F154" t="s">
        <v>235</v>
      </c>
    </row>
    <row r="155" spans="1:6" x14ac:dyDescent="0.35">
      <c r="D155" s="18" t="s">
        <v>236</v>
      </c>
      <c r="F155" t="s">
        <v>237</v>
      </c>
    </row>
    <row r="156" spans="1:6" x14ac:dyDescent="0.35">
      <c r="A156" s="21" t="s">
        <v>238</v>
      </c>
      <c r="B156" s="22" t="s">
        <v>239</v>
      </c>
      <c r="D156" s="18" t="s">
        <v>240</v>
      </c>
      <c r="F156" t="s">
        <v>241</v>
      </c>
    </row>
    <row r="157" spans="1:6" x14ac:dyDescent="0.35">
      <c r="D157" s="18" t="s">
        <v>242</v>
      </c>
      <c r="F157" t="s">
        <v>243</v>
      </c>
    </row>
    <row r="158" spans="1:6" x14ac:dyDescent="0.35">
      <c r="D158" s="18" t="s">
        <v>244</v>
      </c>
      <c r="F158" t="s">
        <v>245</v>
      </c>
    </row>
    <row r="159" spans="1:6" x14ac:dyDescent="0.35">
      <c r="D159" s="18" t="s">
        <v>246</v>
      </c>
      <c r="F159" t="s">
        <v>247</v>
      </c>
    </row>
    <row r="160" spans="1:6" x14ac:dyDescent="0.35">
      <c r="D160" s="18" t="s">
        <v>248</v>
      </c>
      <c r="F160" t="s">
        <v>249</v>
      </c>
    </row>
    <row r="161" spans="4:6" x14ac:dyDescent="0.35">
      <c r="D161" s="18" t="s">
        <v>250</v>
      </c>
      <c r="F161" t="s">
        <v>251</v>
      </c>
    </row>
    <row r="162" spans="4:6" x14ac:dyDescent="0.35">
      <c r="D162" s="18" t="s">
        <v>252</v>
      </c>
      <c r="F162" t="s">
        <v>253</v>
      </c>
    </row>
    <row r="163" spans="4:6" x14ac:dyDescent="0.35">
      <c r="D163" s="18" t="s">
        <v>254</v>
      </c>
      <c r="F163" t="s">
        <v>255</v>
      </c>
    </row>
    <row r="164" spans="4:6" x14ac:dyDescent="0.35">
      <c r="D164" s="18" t="s">
        <v>256</v>
      </c>
      <c r="F164" t="s">
        <v>257</v>
      </c>
    </row>
    <row r="165" spans="4:6" x14ac:dyDescent="0.35">
      <c r="D165" s="18" t="s">
        <v>258</v>
      </c>
      <c r="F165" t="s">
        <v>259</v>
      </c>
    </row>
    <row r="166" spans="4:6" x14ac:dyDescent="0.35">
      <c r="D166" s="18" t="s">
        <v>260</v>
      </c>
      <c r="F166" t="s">
        <v>261</v>
      </c>
    </row>
    <row r="167" spans="4:6" x14ac:dyDescent="0.35">
      <c r="D167" s="23" t="s">
        <v>262</v>
      </c>
      <c r="F167" t="s">
        <v>263</v>
      </c>
    </row>
    <row r="168" spans="4:6" x14ac:dyDescent="0.35">
      <c r="D168" s="18" t="s">
        <v>264</v>
      </c>
      <c r="F168" t="s">
        <v>265</v>
      </c>
    </row>
    <row r="169" spans="4:6" x14ac:dyDescent="0.35">
      <c r="D169" s="18" t="s">
        <v>266</v>
      </c>
      <c r="F169" t="s">
        <v>267</v>
      </c>
    </row>
    <row r="170" spans="4:6" x14ac:dyDescent="0.35">
      <c r="D170" s="18" t="s">
        <v>268</v>
      </c>
      <c r="F170" t="s">
        <v>269</v>
      </c>
    </row>
    <row r="171" spans="4:6" x14ac:dyDescent="0.35">
      <c r="D171" s="18" t="s">
        <v>270</v>
      </c>
      <c r="F171" t="s">
        <v>271</v>
      </c>
    </row>
    <row r="172" spans="4:6" x14ac:dyDescent="0.35">
      <c r="D172" s="18" t="s">
        <v>272</v>
      </c>
    </row>
    <row r="173" spans="4:6" x14ac:dyDescent="0.35">
      <c r="D173" s="18" t="s">
        <v>273</v>
      </c>
    </row>
    <row r="174" spans="4:6" x14ac:dyDescent="0.35">
      <c r="D174" s="18" t="s">
        <v>274</v>
      </c>
    </row>
    <row r="175" spans="4:6" x14ac:dyDescent="0.35">
      <c r="D175" s="18" t="s">
        <v>275</v>
      </c>
    </row>
    <row r="176" spans="4:6" x14ac:dyDescent="0.35">
      <c r="D176" s="18" t="s">
        <v>276</v>
      </c>
    </row>
    <row r="177" spans="4:4" x14ac:dyDescent="0.35">
      <c r="D177" s="18" t="s">
        <v>277</v>
      </c>
    </row>
    <row r="178" spans="4:4" x14ac:dyDescent="0.35">
      <c r="D178" s="18" t="s">
        <v>278</v>
      </c>
    </row>
    <row r="179" spans="4:4" x14ac:dyDescent="0.35">
      <c r="D179" s="18" t="s">
        <v>279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A1C6B-7F6F-4B21-9F30-EDEFA05ABDAD}">
  <sheetPr codeName="Hoja2"/>
  <dimension ref="A1:AH366"/>
  <sheetViews>
    <sheetView showGridLines="0" topLeftCell="A2" zoomScale="80" zoomScaleNormal="80" workbookViewId="0">
      <selection activeCell="L3" sqref="L3"/>
    </sheetView>
  </sheetViews>
  <sheetFormatPr baseColWidth="10" defaultColWidth="11.453125" defaultRowHeight="14.5" x14ac:dyDescent="0.35"/>
  <cols>
    <col min="1" max="1" width="11.453125" style="2" customWidth="1"/>
    <col min="2" max="2" width="19.7265625" style="2" customWidth="1"/>
    <col min="3" max="4" width="19.90625" style="2" customWidth="1"/>
    <col min="5" max="5" width="14.6328125" style="2" customWidth="1"/>
    <col min="6" max="6" width="14.81640625" style="2" customWidth="1"/>
    <col min="7" max="7" width="18.453125" style="2" customWidth="1"/>
    <col min="8" max="8" width="39.90625" style="1" customWidth="1"/>
    <col min="9" max="9" width="20.6328125" style="2" hidden="1" customWidth="1"/>
    <col min="10" max="10" width="17.08984375" style="2" hidden="1" customWidth="1"/>
    <col min="11" max="11" width="20" style="2" customWidth="1"/>
    <col min="12" max="12" width="16.1796875" style="52" customWidth="1"/>
    <col min="13" max="13" width="16.81640625" style="2" customWidth="1"/>
    <col min="14" max="14" width="17.7265625" style="2" customWidth="1"/>
    <col min="15" max="15" width="28.1796875" style="2" customWidth="1"/>
    <col min="16" max="16" width="14.1796875" style="2" customWidth="1"/>
    <col min="17" max="17" width="18.81640625" style="2" customWidth="1"/>
    <col min="18" max="18" width="20.54296875" style="2" customWidth="1"/>
    <col min="19" max="19" width="13.54296875" style="2" customWidth="1"/>
    <col min="20" max="20" width="14.1796875" style="2" customWidth="1"/>
    <col min="21" max="21" width="15.453125" style="2" customWidth="1"/>
    <col min="22" max="22" width="15.08984375" style="2" customWidth="1"/>
    <col min="23" max="23" width="16.453125" style="2" customWidth="1"/>
    <col min="24" max="24" width="16.81640625" style="2" customWidth="1"/>
    <col min="25" max="25" width="20.1796875" style="2" customWidth="1"/>
    <col min="26" max="26" width="17.81640625" style="2" customWidth="1"/>
    <col min="27" max="27" width="18.7265625" style="2" customWidth="1"/>
    <col min="28" max="28" width="27.08984375" style="2" customWidth="1"/>
    <col min="29" max="29" width="28.6328125" style="45" customWidth="1"/>
    <col min="30" max="30" width="23.26953125" style="2" customWidth="1"/>
    <col min="31" max="31" width="24.08984375" style="2" customWidth="1"/>
    <col min="32" max="32" width="24.54296875" style="2" customWidth="1"/>
    <col min="33" max="33" width="26.90625" style="2" customWidth="1"/>
    <col min="34" max="34" width="13.453125" style="69" customWidth="1"/>
    <col min="35" max="16384" width="11.453125" style="2"/>
  </cols>
  <sheetData>
    <row r="1" spans="1:34" ht="95" customHeight="1" thickBot="1" x14ac:dyDescent="0.45">
      <c r="A1" s="25" t="s">
        <v>1869</v>
      </c>
      <c r="C1" s="43"/>
      <c r="D1" s="43"/>
      <c r="E1" s="43"/>
      <c r="F1" s="43"/>
      <c r="G1" s="43"/>
      <c r="H1" s="91"/>
      <c r="I1" s="43"/>
      <c r="J1" s="43"/>
      <c r="K1" s="43"/>
      <c r="L1" s="43"/>
      <c r="M1" s="43"/>
      <c r="N1" s="44"/>
      <c r="O1" s="43"/>
      <c r="P1" s="43"/>
      <c r="Q1" s="43"/>
      <c r="R1" s="43"/>
      <c r="S1" s="43"/>
    </row>
    <row r="2" spans="1:34" ht="87.5" thickBot="1" x14ac:dyDescent="0.4">
      <c r="A2" s="82" t="s">
        <v>280</v>
      </c>
      <c r="B2" s="82" t="s">
        <v>281</v>
      </c>
      <c r="C2" s="82" t="s">
        <v>282</v>
      </c>
      <c r="D2" s="82" t="s">
        <v>283</v>
      </c>
      <c r="E2" s="82" t="s">
        <v>1868</v>
      </c>
      <c r="F2" s="82" t="s">
        <v>284</v>
      </c>
      <c r="G2" s="82" t="s">
        <v>285</v>
      </c>
      <c r="H2" s="92" t="s">
        <v>286</v>
      </c>
      <c r="I2" s="83" t="s">
        <v>1243</v>
      </c>
      <c r="J2" s="83" t="s">
        <v>287</v>
      </c>
      <c r="K2" s="83" t="s">
        <v>288</v>
      </c>
      <c r="L2" s="82" t="s">
        <v>289</v>
      </c>
      <c r="M2" s="82" t="s">
        <v>290</v>
      </c>
      <c r="N2" s="82" t="s">
        <v>291</v>
      </c>
      <c r="O2" s="82" t="s">
        <v>292</v>
      </c>
      <c r="P2" s="83" t="s">
        <v>293</v>
      </c>
      <c r="Q2" s="84" t="s">
        <v>294</v>
      </c>
      <c r="R2" s="84" t="s">
        <v>295</v>
      </c>
      <c r="S2" s="85" t="s">
        <v>296</v>
      </c>
      <c r="T2" s="85" t="s">
        <v>297</v>
      </c>
      <c r="U2" s="82" t="s">
        <v>298</v>
      </c>
      <c r="V2" s="85" t="s">
        <v>299</v>
      </c>
      <c r="W2" s="86" t="s">
        <v>300</v>
      </c>
      <c r="X2" s="86" t="s">
        <v>301</v>
      </c>
      <c r="Y2" s="86" t="s">
        <v>302</v>
      </c>
      <c r="Z2" s="82" t="s">
        <v>304</v>
      </c>
      <c r="AA2" s="85" t="s">
        <v>305</v>
      </c>
      <c r="AB2" s="85" t="s">
        <v>306</v>
      </c>
      <c r="AC2" s="87" t="s">
        <v>307</v>
      </c>
      <c r="AD2" s="88" t="s">
        <v>1319</v>
      </c>
      <c r="AE2" s="88" t="s">
        <v>1754</v>
      </c>
      <c r="AF2" s="87" t="s">
        <v>2395</v>
      </c>
      <c r="AG2" s="85" t="s">
        <v>1351</v>
      </c>
      <c r="AH2" s="85" t="s">
        <v>308</v>
      </c>
    </row>
    <row r="3" spans="1:34" ht="43.5" x14ac:dyDescent="0.35">
      <c r="A3" s="55" t="s">
        <v>330</v>
      </c>
      <c r="B3" s="30" t="s">
        <v>11</v>
      </c>
      <c r="C3" s="30" t="s">
        <v>331</v>
      </c>
      <c r="D3" s="100" t="s">
        <v>313</v>
      </c>
      <c r="E3" s="97" t="s">
        <v>332</v>
      </c>
      <c r="F3" s="60">
        <v>36770</v>
      </c>
      <c r="G3" s="2" t="s">
        <v>88</v>
      </c>
      <c r="H3" s="93" t="s">
        <v>1751</v>
      </c>
      <c r="I3" s="64">
        <v>26469264</v>
      </c>
      <c r="J3" s="101">
        <v>0</v>
      </c>
      <c r="K3" s="33">
        <v>26469264</v>
      </c>
      <c r="L3" s="76" t="s">
        <v>96</v>
      </c>
      <c r="M3" s="54">
        <v>41607866</v>
      </c>
      <c r="N3" s="30"/>
      <c r="O3" s="30" t="s">
        <v>333</v>
      </c>
      <c r="P3" s="56" t="s">
        <v>317</v>
      </c>
      <c r="Q3" s="26">
        <f>326489827+27845664</f>
        <v>354335491</v>
      </c>
      <c r="R3" s="32">
        <f>+Tabla1513[[#This Row],[VALOR INICIAL DEL CONTRATO CON IVA]]+Tabla1513[[#This Row],[VALOR DE LAS ADICIONES CON IVA]]</f>
        <v>380804755</v>
      </c>
      <c r="S3" s="4">
        <v>365</v>
      </c>
      <c r="T3" s="56" t="s">
        <v>317</v>
      </c>
      <c r="U3" s="58">
        <f>+Tabla1513[[#This Row],[FECHA FINAL DEL CONTRATO]]-Tabla1513[[#This Row],[FECHA TERMINACIÓN INICIAL CONTRATO]]</f>
        <v>9131</v>
      </c>
      <c r="V3" s="59" t="s">
        <v>318</v>
      </c>
      <c r="W3" s="60">
        <v>36770</v>
      </c>
      <c r="X3" s="61">
        <v>37134</v>
      </c>
      <c r="Y3" s="61">
        <v>46265</v>
      </c>
      <c r="Z3" s="55" t="s">
        <v>319</v>
      </c>
      <c r="AA3" s="60"/>
      <c r="AB3" s="56"/>
      <c r="AC3" s="56" t="s">
        <v>320</v>
      </c>
      <c r="AD3" s="34">
        <v>0.33</v>
      </c>
      <c r="AE3" s="34">
        <v>0.66669999999999996</v>
      </c>
      <c r="AF3" s="35">
        <v>25720012</v>
      </c>
      <c r="AG3" s="42" t="s">
        <v>312</v>
      </c>
      <c r="AH3" s="63">
        <v>2000</v>
      </c>
    </row>
    <row r="4" spans="1:34" ht="43.5" x14ac:dyDescent="0.35">
      <c r="A4" s="55" t="s">
        <v>330</v>
      </c>
      <c r="B4" s="30" t="s">
        <v>11</v>
      </c>
      <c r="C4" s="30" t="s">
        <v>331</v>
      </c>
      <c r="D4" s="100" t="s">
        <v>313</v>
      </c>
      <c r="E4" s="97" t="s">
        <v>334</v>
      </c>
      <c r="F4" s="60">
        <v>36739</v>
      </c>
      <c r="G4" s="2" t="s">
        <v>88</v>
      </c>
      <c r="H4" s="93" t="s">
        <v>335</v>
      </c>
      <c r="I4" s="64">
        <v>138062292</v>
      </c>
      <c r="J4" s="101">
        <v>26231835</v>
      </c>
      <c r="K4" s="33">
        <v>164294127</v>
      </c>
      <c r="L4" s="76" t="s">
        <v>84</v>
      </c>
      <c r="M4" s="54">
        <v>901776146</v>
      </c>
      <c r="N4" s="30" t="s">
        <v>111</v>
      </c>
      <c r="O4" s="30" t="s">
        <v>336</v>
      </c>
      <c r="P4" s="56" t="s">
        <v>317</v>
      </c>
      <c r="Q4" s="26">
        <v>1357069818</v>
      </c>
      <c r="R4" s="32">
        <f>+Tabla1513[[#This Row],[VALOR INICIAL DEL CONTRATO CON IVA]]+Tabla1513[[#This Row],[VALOR DE LAS ADICIONES CON IVA]]</f>
        <v>1521363945</v>
      </c>
      <c r="S4" s="4">
        <f>+Tabla1513[[#This Row],[FECHA TERMINACIÓN INICIAL CONTRATO]]-Tabla1513[[#This Row],[FECHA INICIO CONTRATO]]</f>
        <v>364</v>
      </c>
      <c r="T4" s="56" t="s">
        <v>317</v>
      </c>
      <c r="U4" s="58">
        <f>+Tabla1513[[#This Row],[FECHA FINAL DEL CONTRATO]]-Tabla1513[[#This Row],[FECHA TERMINACIÓN INICIAL CONTRATO]]</f>
        <v>9131</v>
      </c>
      <c r="V4" s="59" t="s">
        <v>318</v>
      </c>
      <c r="W4" s="60">
        <v>36739</v>
      </c>
      <c r="X4" s="61">
        <v>37103</v>
      </c>
      <c r="Y4" s="61">
        <v>46234</v>
      </c>
      <c r="Z4" s="55" t="s">
        <v>319</v>
      </c>
      <c r="AA4" s="60"/>
      <c r="AB4" s="56"/>
      <c r="AC4" s="56" t="s">
        <v>337</v>
      </c>
      <c r="AD4" s="34">
        <v>0.41670000000000001</v>
      </c>
      <c r="AE4" s="34">
        <v>0.41670000000000001</v>
      </c>
      <c r="AF4" s="35">
        <v>129678201</v>
      </c>
      <c r="AG4" s="42" t="s">
        <v>312</v>
      </c>
      <c r="AH4" s="63">
        <v>2000</v>
      </c>
    </row>
    <row r="5" spans="1:34" ht="83.5" customHeight="1" x14ac:dyDescent="0.35">
      <c r="A5" s="55" t="s">
        <v>330</v>
      </c>
      <c r="B5" s="30" t="s">
        <v>11</v>
      </c>
      <c r="C5" s="30" t="s">
        <v>331</v>
      </c>
      <c r="D5" s="30" t="s">
        <v>362</v>
      </c>
      <c r="E5" s="97" t="s">
        <v>363</v>
      </c>
      <c r="F5" s="60">
        <v>40443</v>
      </c>
      <c r="G5" s="30" t="s">
        <v>150</v>
      </c>
      <c r="H5" s="93" t="s">
        <v>1753</v>
      </c>
      <c r="I5" s="101">
        <v>0</v>
      </c>
      <c r="J5" s="101">
        <v>0</v>
      </c>
      <c r="K5" s="3">
        <v>0</v>
      </c>
      <c r="L5" s="76" t="s">
        <v>84</v>
      </c>
      <c r="M5" s="54">
        <v>860007738</v>
      </c>
      <c r="N5" s="30" t="s">
        <v>123</v>
      </c>
      <c r="O5" s="30" t="s">
        <v>364</v>
      </c>
      <c r="P5" s="56" t="s">
        <v>318</v>
      </c>
      <c r="Q5" s="26"/>
      <c r="R5" s="32">
        <f>+Tabla1513[[#This Row],[VALOR INICIAL DEL CONTRATO CON IVA]]+Tabla1513[[#This Row],[VALOR DE LAS ADICIONES CON IVA]]</f>
        <v>0</v>
      </c>
      <c r="S5" s="4">
        <f>+Tabla1513[[#This Row],[FECHA TERMINACIÓN INICIAL CONTRATO]]-Tabla1513[[#This Row],[FECHA INICIO CONTRATO]]</f>
        <v>365</v>
      </c>
      <c r="T5" s="56" t="s">
        <v>317</v>
      </c>
      <c r="U5" s="58">
        <f>+Tabla1513[[#This Row],[FECHA FINAL DEL CONTRATO]]-Tabla1513[[#This Row],[FECHA TERMINACIÓN INICIAL CONTRATO]]</f>
        <v>5114</v>
      </c>
      <c r="V5" s="59" t="s">
        <v>318</v>
      </c>
      <c r="W5" s="60">
        <v>40515</v>
      </c>
      <c r="X5" s="61">
        <v>40880</v>
      </c>
      <c r="Y5" s="61">
        <v>45994</v>
      </c>
      <c r="Z5" s="55" t="s">
        <v>319</v>
      </c>
      <c r="AA5" s="60"/>
      <c r="AB5" s="56"/>
      <c r="AC5" s="56" t="s">
        <v>365</v>
      </c>
      <c r="AD5" s="34">
        <v>7.6700000000000004E-2</v>
      </c>
      <c r="AE5" s="34">
        <v>0</v>
      </c>
      <c r="AF5" s="35">
        <v>0</v>
      </c>
      <c r="AG5" s="42" t="s">
        <v>312</v>
      </c>
      <c r="AH5" s="63">
        <v>2010</v>
      </c>
    </row>
    <row r="6" spans="1:34" ht="94.5" customHeight="1" x14ac:dyDescent="0.35">
      <c r="A6" s="55" t="s">
        <v>330</v>
      </c>
      <c r="B6" s="30" t="s">
        <v>11</v>
      </c>
      <c r="C6" s="30" t="s">
        <v>331</v>
      </c>
      <c r="D6" s="100" t="s">
        <v>313</v>
      </c>
      <c r="E6" s="97" t="s">
        <v>366</v>
      </c>
      <c r="F6" s="60">
        <v>40730</v>
      </c>
      <c r="G6" s="30" t="s">
        <v>150</v>
      </c>
      <c r="H6" s="93" t="s">
        <v>367</v>
      </c>
      <c r="I6" s="101">
        <v>0</v>
      </c>
      <c r="J6" s="101">
        <v>0</v>
      </c>
      <c r="K6" s="3">
        <v>0</v>
      </c>
      <c r="L6" s="76" t="s">
        <v>84</v>
      </c>
      <c r="M6" s="54">
        <v>860007738</v>
      </c>
      <c r="N6" s="30" t="s">
        <v>123</v>
      </c>
      <c r="O6" s="30" t="s">
        <v>364</v>
      </c>
      <c r="P6" s="56" t="s">
        <v>318</v>
      </c>
      <c r="Q6" s="26"/>
      <c r="R6" s="32">
        <f>+Tabla1513[[#This Row],[VALOR INICIAL DEL CONTRATO CON IVA]]+Tabla1513[[#This Row],[VALOR DE LAS ADICIONES CON IVA]]</f>
        <v>0</v>
      </c>
      <c r="S6" s="4">
        <f>+Tabla1513[[#This Row],[FECHA TERMINACIÓN INICIAL CONTRATO]]-Tabla1513[[#This Row],[FECHA INICIO CONTRATO]]</f>
        <v>365</v>
      </c>
      <c r="T6" s="56" t="s">
        <v>317</v>
      </c>
      <c r="U6" s="58">
        <f>+Tabla1513[[#This Row],[FECHA FINAL DEL CONTRATO]]-Tabla1513[[#This Row],[FECHA TERMINACIÓN INICIAL CONTRATO]]</f>
        <v>5113</v>
      </c>
      <c r="V6" s="59" t="s">
        <v>318</v>
      </c>
      <c r="W6" s="60">
        <v>40821</v>
      </c>
      <c r="X6" s="61">
        <v>41186</v>
      </c>
      <c r="Y6" s="61">
        <v>46299</v>
      </c>
      <c r="Z6" s="55" t="s">
        <v>319</v>
      </c>
      <c r="AA6" s="60"/>
      <c r="AB6" s="56"/>
      <c r="AC6" s="56" t="s">
        <v>365</v>
      </c>
      <c r="AD6" s="34">
        <v>0.4904</v>
      </c>
      <c r="AE6" s="34">
        <v>0</v>
      </c>
      <c r="AF6" s="35">
        <v>0</v>
      </c>
      <c r="AG6" s="42" t="s">
        <v>312</v>
      </c>
      <c r="AH6" s="63">
        <v>2011</v>
      </c>
    </row>
    <row r="7" spans="1:34" ht="43.5" x14ac:dyDescent="0.35">
      <c r="A7" s="55" t="s">
        <v>330</v>
      </c>
      <c r="B7" s="30" t="s">
        <v>11</v>
      </c>
      <c r="C7" s="30" t="s">
        <v>331</v>
      </c>
      <c r="D7" s="100" t="s">
        <v>313</v>
      </c>
      <c r="E7" s="97" t="s">
        <v>368</v>
      </c>
      <c r="F7" s="60">
        <v>40840</v>
      </c>
      <c r="G7" s="2" t="s">
        <v>88</v>
      </c>
      <c r="H7" s="93" t="s">
        <v>369</v>
      </c>
      <c r="I7" s="64">
        <v>12714250</v>
      </c>
      <c r="J7" s="101">
        <v>0</v>
      </c>
      <c r="K7" s="33">
        <v>12714250</v>
      </c>
      <c r="L7" s="76" t="s">
        <v>96</v>
      </c>
      <c r="M7" s="54" t="s">
        <v>370</v>
      </c>
      <c r="N7" s="30"/>
      <c r="O7" s="30" t="s">
        <v>371</v>
      </c>
      <c r="P7" s="56" t="s">
        <v>317</v>
      </c>
      <c r="Q7" s="26">
        <v>169517147</v>
      </c>
      <c r="R7" s="32">
        <f>+Tabla1513[[#This Row],[VALOR INICIAL DEL CONTRATO CON IVA]]+Tabla1513[[#This Row],[VALOR DE LAS ADICIONES CON IVA]]</f>
        <v>182231397</v>
      </c>
      <c r="S7" s="4">
        <f>+Tabla1513[[#This Row],[FECHA TERMINACIÓN INICIAL CONTRATO]]-Tabla1513[[#This Row],[FECHA INICIO CONTRATO]]</f>
        <v>365</v>
      </c>
      <c r="T7" s="56" t="s">
        <v>317</v>
      </c>
      <c r="U7" s="58">
        <f>+Tabla1513[[#This Row],[FECHA FINAL DEL CONTRATO]]-Tabla1513[[#This Row],[FECHA TERMINACIÓN INICIAL CONTRATO]]</f>
        <v>5113</v>
      </c>
      <c r="V7" s="59" t="s">
        <v>318</v>
      </c>
      <c r="W7" s="60">
        <v>40840</v>
      </c>
      <c r="X7" s="61">
        <v>41205</v>
      </c>
      <c r="Y7" s="61">
        <v>46318</v>
      </c>
      <c r="Z7" s="55" t="s">
        <v>319</v>
      </c>
      <c r="AA7" s="60"/>
      <c r="AB7" s="56"/>
      <c r="AC7" s="56" t="s">
        <v>1750</v>
      </c>
      <c r="AD7" s="34">
        <v>0.17</v>
      </c>
      <c r="AE7" s="34">
        <v>0.16669999999999999</v>
      </c>
      <c r="AF7" s="35">
        <v>18804254</v>
      </c>
      <c r="AG7" s="42" t="s">
        <v>312</v>
      </c>
      <c r="AH7" s="63">
        <v>2011</v>
      </c>
    </row>
    <row r="8" spans="1:34" ht="43.5" x14ac:dyDescent="0.35">
      <c r="A8" s="55" t="s">
        <v>330</v>
      </c>
      <c r="B8" s="30" t="s">
        <v>11</v>
      </c>
      <c r="C8" s="30" t="s">
        <v>331</v>
      </c>
      <c r="D8" s="100" t="s">
        <v>313</v>
      </c>
      <c r="E8" s="97" t="s">
        <v>378</v>
      </c>
      <c r="F8" s="60">
        <v>41142</v>
      </c>
      <c r="G8" s="2" t="s">
        <v>88</v>
      </c>
      <c r="H8" s="93" t="s">
        <v>379</v>
      </c>
      <c r="I8" s="101">
        <v>184800000</v>
      </c>
      <c r="J8" s="101">
        <v>0</v>
      </c>
      <c r="K8" s="3">
        <v>184800000</v>
      </c>
      <c r="L8" s="76" t="s">
        <v>84</v>
      </c>
      <c r="M8" s="54">
        <v>860011153</v>
      </c>
      <c r="N8" s="30" t="s">
        <v>114</v>
      </c>
      <c r="O8" s="30" t="s">
        <v>380</v>
      </c>
      <c r="P8" s="56" t="s">
        <v>317</v>
      </c>
      <c r="Q8" s="26">
        <v>3341404059</v>
      </c>
      <c r="R8" s="32">
        <f>+Tabla1513[[#This Row],[VALOR INICIAL DEL CONTRATO CON IVA]]+Tabla1513[[#This Row],[VALOR DE LAS ADICIONES CON IVA]]</f>
        <v>3526204059</v>
      </c>
      <c r="S8" s="4">
        <f>+Tabla1513[[#This Row],[FECHA TERMINACIÓN INICIAL CONTRATO]]-Tabla1513[[#This Row],[FECHA INICIO CONTRATO]]</f>
        <v>1460</v>
      </c>
      <c r="T8" s="56" t="s">
        <v>317</v>
      </c>
      <c r="U8" s="58">
        <f>+Tabla1513[[#This Row],[FECHA FINAL DEL CONTRATO]]-Tabla1513[[#This Row],[FECHA TERMINACIÓN INICIAL CONTRATO]]</f>
        <v>3652</v>
      </c>
      <c r="V8" s="59" t="s">
        <v>318</v>
      </c>
      <c r="W8" s="60">
        <v>41183</v>
      </c>
      <c r="X8" s="61">
        <v>42643</v>
      </c>
      <c r="Y8" s="61">
        <v>46295</v>
      </c>
      <c r="Z8" s="55" t="s">
        <v>319</v>
      </c>
      <c r="AA8" s="60"/>
      <c r="AB8" s="56"/>
      <c r="AC8" s="56" t="s">
        <v>312</v>
      </c>
      <c r="AD8" s="34">
        <v>0.25209999999999999</v>
      </c>
      <c r="AE8" s="34">
        <v>0</v>
      </c>
      <c r="AF8" s="35">
        <v>0</v>
      </c>
      <c r="AG8" s="42" t="s">
        <v>312</v>
      </c>
      <c r="AH8" s="63">
        <v>2012</v>
      </c>
    </row>
    <row r="9" spans="1:34" ht="29" x14ac:dyDescent="0.35">
      <c r="A9" s="55" t="s">
        <v>330</v>
      </c>
      <c r="B9" s="30" t="s">
        <v>310</v>
      </c>
      <c r="C9" s="30" t="s">
        <v>644</v>
      </c>
      <c r="D9" s="100" t="s">
        <v>313</v>
      </c>
      <c r="E9" s="97" t="s">
        <v>397</v>
      </c>
      <c r="F9" s="60">
        <v>42640</v>
      </c>
      <c r="G9" s="30" t="s">
        <v>160</v>
      </c>
      <c r="H9" s="93" t="s">
        <v>1806</v>
      </c>
      <c r="I9" s="101">
        <v>1150000000</v>
      </c>
      <c r="J9" s="101">
        <v>0</v>
      </c>
      <c r="K9" s="3">
        <v>1150000000</v>
      </c>
      <c r="L9" s="76" t="s">
        <v>84</v>
      </c>
      <c r="M9" s="54">
        <v>900207694</v>
      </c>
      <c r="N9" s="30" t="s">
        <v>114</v>
      </c>
      <c r="O9" s="30" t="s">
        <v>398</v>
      </c>
      <c r="P9" s="56" t="s">
        <v>318</v>
      </c>
      <c r="Q9" s="26"/>
      <c r="R9" s="32">
        <f>+Tabla1513[[#This Row],[VALOR INICIAL DEL CONTRATO CON IVA]]+Tabla1513[[#This Row],[VALOR DE LAS ADICIONES CON IVA]]</f>
        <v>1150000000</v>
      </c>
      <c r="S9" s="4">
        <f>+Tabla1513[[#This Row],[FECHA TERMINACIÓN INICIAL CONTRATO]]-Tabla1513[[#This Row],[FECHA INICIO CONTRATO]]</f>
        <v>1826</v>
      </c>
      <c r="T9" s="56" t="s">
        <v>317</v>
      </c>
      <c r="U9" s="58">
        <f>+Tabla1513[[#This Row],[FECHA FINAL DEL CONTRATO]]-Tabla1513[[#This Row],[FECHA TERMINACIÓN INICIAL CONTRATO]]</f>
        <v>1733</v>
      </c>
      <c r="V9" s="59" t="s">
        <v>318</v>
      </c>
      <c r="W9" s="60">
        <v>42644</v>
      </c>
      <c r="X9" s="61">
        <v>44470</v>
      </c>
      <c r="Y9" s="61">
        <v>46203</v>
      </c>
      <c r="Z9" s="55" t="s">
        <v>319</v>
      </c>
      <c r="AA9" s="60"/>
      <c r="AB9" s="56"/>
      <c r="AC9" s="56" t="s">
        <v>312</v>
      </c>
      <c r="AD9" s="34">
        <v>1</v>
      </c>
      <c r="AE9" s="34">
        <v>0</v>
      </c>
      <c r="AF9" s="35">
        <v>0</v>
      </c>
      <c r="AG9" s="42" t="s">
        <v>312</v>
      </c>
      <c r="AH9" s="63">
        <v>2016</v>
      </c>
    </row>
    <row r="10" spans="1:34" ht="43.5" x14ac:dyDescent="0.35">
      <c r="A10" s="55" t="s">
        <v>330</v>
      </c>
      <c r="B10" s="30" t="s">
        <v>11</v>
      </c>
      <c r="C10" s="30" t="s">
        <v>331</v>
      </c>
      <c r="D10" s="100" t="s">
        <v>313</v>
      </c>
      <c r="E10" s="97" t="s">
        <v>407</v>
      </c>
      <c r="F10" s="60">
        <v>43228</v>
      </c>
      <c r="G10" s="2" t="s">
        <v>88</v>
      </c>
      <c r="H10" s="93" t="s">
        <v>408</v>
      </c>
      <c r="I10" s="79">
        <v>6977208000</v>
      </c>
      <c r="J10" s="101">
        <v>0</v>
      </c>
      <c r="K10" s="3">
        <v>6977208000</v>
      </c>
      <c r="L10" s="76" t="s">
        <v>84</v>
      </c>
      <c r="M10" s="54">
        <v>830028860</v>
      </c>
      <c r="N10" s="30" t="s">
        <v>85</v>
      </c>
      <c r="O10" s="30" t="s">
        <v>409</v>
      </c>
      <c r="P10" s="56" t="s">
        <v>317</v>
      </c>
      <c r="Q10" s="26">
        <v>7449462665</v>
      </c>
      <c r="R10" s="32">
        <f>+Tabla1513[[#This Row],[VALOR INICIAL DEL CONTRATO CON IVA]]+Tabla1513[[#This Row],[VALOR DE LAS ADICIONES CON IVA]]</f>
        <v>14426670665</v>
      </c>
      <c r="S10" s="4">
        <v>2556</v>
      </c>
      <c r="T10" s="56" t="s">
        <v>317</v>
      </c>
      <c r="U10" s="58">
        <f>+Tabla1513[[#This Row],[FECHA FINAL DEL CONTRATO]]-Tabla1513[[#This Row],[FECHA TERMINACIÓN INICIAL CONTRATO]]</f>
        <v>1825</v>
      </c>
      <c r="V10" s="56" t="s">
        <v>318</v>
      </c>
      <c r="W10" s="60">
        <v>43250</v>
      </c>
      <c r="X10" s="61">
        <v>45806</v>
      </c>
      <c r="Y10" s="61">
        <v>47631</v>
      </c>
      <c r="Z10" s="55" t="s">
        <v>319</v>
      </c>
      <c r="AA10" s="60"/>
      <c r="AB10" s="56"/>
      <c r="AC10" s="56" t="s">
        <v>312</v>
      </c>
      <c r="AD10" s="34">
        <v>0.94089999999999996</v>
      </c>
      <c r="AE10" s="34">
        <v>0</v>
      </c>
      <c r="AF10" s="35">
        <v>0</v>
      </c>
      <c r="AG10" s="42"/>
      <c r="AH10" s="63">
        <v>2018</v>
      </c>
    </row>
    <row r="11" spans="1:34" ht="29" x14ac:dyDescent="0.35">
      <c r="A11" s="55" t="s">
        <v>330</v>
      </c>
      <c r="B11" s="30" t="s">
        <v>410</v>
      </c>
      <c r="C11" s="30" t="s">
        <v>71</v>
      </c>
      <c r="D11" s="100" t="s">
        <v>313</v>
      </c>
      <c r="E11" s="97" t="s">
        <v>417</v>
      </c>
      <c r="F11" s="60">
        <v>43714</v>
      </c>
      <c r="G11" s="30" t="s">
        <v>150</v>
      </c>
      <c r="H11" s="93" t="s">
        <v>418</v>
      </c>
      <c r="I11" s="101">
        <v>422184874</v>
      </c>
      <c r="J11" s="101">
        <v>80215126</v>
      </c>
      <c r="K11" s="3">
        <v>502400000</v>
      </c>
      <c r="L11" s="76" t="s">
        <v>84</v>
      </c>
      <c r="M11" s="54">
        <v>900153453</v>
      </c>
      <c r="N11" s="30" t="s">
        <v>108</v>
      </c>
      <c r="O11" s="30" t="s">
        <v>419</v>
      </c>
      <c r="P11" s="56" t="s">
        <v>317</v>
      </c>
      <c r="Q11" s="26">
        <f>1858206164+973066768+1197915334</f>
        <v>4029188266</v>
      </c>
      <c r="R11" s="32">
        <f>+Tabla1513[[#This Row],[VALOR INICIAL DEL CONTRATO CON IVA]]+Tabla1513[[#This Row],[VALOR DE LAS ADICIONES CON IVA]]</f>
        <v>4531588266</v>
      </c>
      <c r="S11" s="4">
        <v>782</v>
      </c>
      <c r="T11" s="56" t="s">
        <v>317</v>
      </c>
      <c r="U11" s="58">
        <f>+Tabla1513[[#This Row],[FECHA FINAL DEL CONTRATO]]-Tabla1513[[#This Row],[FECHA TERMINACIÓN INICIAL CONTRATO]]</f>
        <v>1461</v>
      </c>
      <c r="V11" s="59" t="s">
        <v>318</v>
      </c>
      <c r="W11" s="60">
        <v>43718</v>
      </c>
      <c r="X11" s="61">
        <v>44500</v>
      </c>
      <c r="Y11" s="61">
        <v>45961</v>
      </c>
      <c r="Z11" s="55" t="s">
        <v>319</v>
      </c>
      <c r="AA11" s="60"/>
      <c r="AB11" s="56"/>
      <c r="AC11" s="56" t="s">
        <v>420</v>
      </c>
      <c r="AD11" s="34">
        <v>0.8649</v>
      </c>
      <c r="AE11" s="34">
        <v>0.83350000000000002</v>
      </c>
      <c r="AF11" s="35">
        <v>2773276981</v>
      </c>
      <c r="AG11" s="36" t="s">
        <v>1620</v>
      </c>
      <c r="AH11" s="63">
        <v>2019</v>
      </c>
    </row>
    <row r="12" spans="1:34" ht="29" x14ac:dyDescent="0.35">
      <c r="A12" s="55" t="s">
        <v>330</v>
      </c>
      <c r="B12" s="30" t="s">
        <v>422</v>
      </c>
      <c r="C12" s="30" t="s">
        <v>431</v>
      </c>
      <c r="D12" s="30" t="s">
        <v>362</v>
      </c>
      <c r="E12" s="97" t="s">
        <v>432</v>
      </c>
      <c r="F12" s="60">
        <v>43979</v>
      </c>
      <c r="G12" s="30" t="s">
        <v>150</v>
      </c>
      <c r="H12" s="93" t="s">
        <v>1752</v>
      </c>
      <c r="I12" s="101">
        <v>263189916</v>
      </c>
      <c r="J12" s="101">
        <v>50006084</v>
      </c>
      <c r="K12" s="3">
        <v>313196000</v>
      </c>
      <c r="L12" s="76" t="s">
        <v>84</v>
      </c>
      <c r="M12" s="54">
        <v>800210237</v>
      </c>
      <c r="N12" s="30" t="s">
        <v>91</v>
      </c>
      <c r="O12" s="30" t="s">
        <v>433</v>
      </c>
      <c r="P12" s="56" t="s">
        <v>317</v>
      </c>
      <c r="Q12" s="26">
        <v>307567400</v>
      </c>
      <c r="R12" s="32">
        <f>+Tabla1513[[#This Row],[VALOR INICIAL DEL CONTRATO CON IVA]]+Tabla1513[[#This Row],[VALOR DE LAS ADICIONES CON IVA]]</f>
        <v>620763400</v>
      </c>
      <c r="S12" s="4">
        <v>1097</v>
      </c>
      <c r="T12" s="56" t="s">
        <v>317</v>
      </c>
      <c r="U12" s="58">
        <v>884</v>
      </c>
      <c r="V12" s="59" t="s">
        <v>318</v>
      </c>
      <c r="W12" s="60">
        <v>43980</v>
      </c>
      <c r="X12" s="61">
        <v>45077</v>
      </c>
      <c r="Y12" s="61">
        <v>45961</v>
      </c>
      <c r="Z12" s="55" t="s">
        <v>319</v>
      </c>
      <c r="AA12" s="60"/>
      <c r="AB12" s="56"/>
      <c r="AC12" s="56" t="s">
        <v>434</v>
      </c>
      <c r="AD12" s="34">
        <v>0.84650000000000003</v>
      </c>
      <c r="AE12" s="34">
        <v>0.81799999999999995</v>
      </c>
      <c r="AF12" s="35">
        <v>507772886</v>
      </c>
      <c r="AG12" s="90" t="s">
        <v>435</v>
      </c>
      <c r="AH12" s="63">
        <v>2020</v>
      </c>
    </row>
    <row r="13" spans="1:34" ht="43.5" x14ac:dyDescent="0.35">
      <c r="A13" s="55" t="s">
        <v>330</v>
      </c>
      <c r="B13" s="30" t="s">
        <v>31</v>
      </c>
      <c r="C13" s="30" t="s">
        <v>36</v>
      </c>
      <c r="D13" s="30" t="s">
        <v>412</v>
      </c>
      <c r="E13" s="97" t="s">
        <v>436</v>
      </c>
      <c r="F13" s="60">
        <v>44014</v>
      </c>
      <c r="G13" s="30" t="s">
        <v>150</v>
      </c>
      <c r="H13" s="93" t="s">
        <v>437</v>
      </c>
      <c r="I13" s="101">
        <v>5166257406</v>
      </c>
      <c r="J13" s="101">
        <v>981588908</v>
      </c>
      <c r="K13" s="3">
        <v>6147846314</v>
      </c>
      <c r="L13" s="76" t="s">
        <v>84</v>
      </c>
      <c r="M13" s="54">
        <v>800015583</v>
      </c>
      <c r="N13" s="30" t="s">
        <v>91</v>
      </c>
      <c r="O13" s="30" t="s">
        <v>438</v>
      </c>
      <c r="P13" s="56" t="s">
        <v>317</v>
      </c>
      <c r="Q13" s="26">
        <v>4663509882</v>
      </c>
      <c r="R13" s="32">
        <f>+Tabla1513[[#This Row],[VALOR INICIAL DEL CONTRATO CON IVA]]+Tabla1513[[#This Row],[VALOR DE LAS ADICIONES CON IVA]]</f>
        <v>10811356196</v>
      </c>
      <c r="S13" s="4">
        <v>1239</v>
      </c>
      <c r="T13" s="56" t="s">
        <v>317</v>
      </c>
      <c r="U13" s="58">
        <v>731</v>
      </c>
      <c r="V13" s="59" t="s">
        <v>318</v>
      </c>
      <c r="W13" s="60">
        <v>44021</v>
      </c>
      <c r="X13" s="61">
        <v>45260</v>
      </c>
      <c r="Y13" s="61">
        <v>45991</v>
      </c>
      <c r="Z13" s="55" t="s">
        <v>319</v>
      </c>
      <c r="AA13" s="60"/>
      <c r="AB13" s="56"/>
      <c r="AC13" s="56" t="s">
        <v>1249</v>
      </c>
      <c r="AD13" s="34">
        <v>0.81669999999999998</v>
      </c>
      <c r="AE13" s="34">
        <v>0.90980000000000005</v>
      </c>
      <c r="AF13" s="35">
        <v>9835874854</v>
      </c>
      <c r="AG13" s="90" t="s">
        <v>439</v>
      </c>
      <c r="AH13" s="63">
        <v>2020</v>
      </c>
    </row>
    <row r="14" spans="1:34" ht="29" x14ac:dyDescent="0.35">
      <c r="A14" s="55" t="s">
        <v>330</v>
      </c>
      <c r="B14" s="30" t="s">
        <v>422</v>
      </c>
      <c r="C14" s="30" t="s">
        <v>45</v>
      </c>
      <c r="D14" s="100" t="s">
        <v>313</v>
      </c>
      <c r="E14" s="97" t="s">
        <v>443</v>
      </c>
      <c r="F14" s="60">
        <v>43906</v>
      </c>
      <c r="G14" s="2" t="s">
        <v>106</v>
      </c>
      <c r="H14" s="93" t="s">
        <v>444</v>
      </c>
      <c r="I14" s="101">
        <v>0</v>
      </c>
      <c r="J14" s="101">
        <v>0</v>
      </c>
      <c r="K14" s="3">
        <v>0</v>
      </c>
      <c r="L14" s="76" t="s">
        <v>84</v>
      </c>
      <c r="M14" s="54">
        <v>860002964</v>
      </c>
      <c r="N14" s="30" t="s">
        <v>108</v>
      </c>
      <c r="O14" s="30" t="s">
        <v>445</v>
      </c>
      <c r="P14" s="56" t="s">
        <v>318</v>
      </c>
      <c r="Q14" s="26"/>
      <c r="R14" s="32">
        <f>+Tabla1513[[#This Row],[VALOR INICIAL DEL CONTRATO CON IVA]]+Tabla1513[[#This Row],[VALOR DE LAS ADICIONES CON IVA]]</f>
        <v>0</v>
      </c>
      <c r="S14" s="4">
        <v>1829</v>
      </c>
      <c r="T14" s="56" t="s">
        <v>317</v>
      </c>
      <c r="U14" s="58">
        <f>+Tabla1513[[#This Row],[FECHA FINAL DEL CONTRATO]]-Tabla1513[[#This Row],[FECHA TERMINACIÓN INICIAL CONTRATO]]</f>
        <v>1826</v>
      </c>
      <c r="V14" s="56" t="s">
        <v>318</v>
      </c>
      <c r="W14" s="60">
        <v>43906</v>
      </c>
      <c r="X14" s="61">
        <v>45732</v>
      </c>
      <c r="Y14" s="61">
        <v>47558</v>
      </c>
      <c r="Z14" s="55" t="s">
        <v>319</v>
      </c>
      <c r="AA14" s="60"/>
      <c r="AB14" s="56"/>
      <c r="AC14" s="56" t="s">
        <v>312</v>
      </c>
      <c r="AD14" s="34">
        <v>0.97</v>
      </c>
      <c r="AE14" s="34">
        <v>0</v>
      </c>
      <c r="AF14" s="35">
        <v>0</v>
      </c>
      <c r="AG14" s="90" t="s">
        <v>312</v>
      </c>
      <c r="AH14" s="63">
        <v>2020</v>
      </c>
    </row>
    <row r="15" spans="1:34" ht="43.5" x14ac:dyDescent="0.35">
      <c r="A15" s="55" t="s">
        <v>330</v>
      </c>
      <c r="B15" s="30" t="s">
        <v>11</v>
      </c>
      <c r="C15" s="30" t="s">
        <v>331</v>
      </c>
      <c r="D15" s="100" t="s">
        <v>313</v>
      </c>
      <c r="E15" s="97" t="s">
        <v>447</v>
      </c>
      <c r="F15" s="60">
        <v>44250</v>
      </c>
      <c r="G15" s="2" t="s">
        <v>88</v>
      </c>
      <c r="H15" s="93" t="s">
        <v>448</v>
      </c>
      <c r="I15" s="64">
        <v>26360854</v>
      </c>
      <c r="J15" s="101">
        <v>0</v>
      </c>
      <c r="K15" s="33">
        <v>26360854</v>
      </c>
      <c r="L15" s="76" t="s">
        <v>84</v>
      </c>
      <c r="M15" s="54">
        <v>901776985</v>
      </c>
      <c r="N15" s="30" t="s">
        <v>120</v>
      </c>
      <c r="O15" s="30" t="s">
        <v>449</v>
      </c>
      <c r="P15" s="56" t="s">
        <v>317</v>
      </c>
      <c r="Q15" s="26">
        <v>65397740</v>
      </c>
      <c r="R15" s="32">
        <f>+Tabla1513[[#This Row],[VALOR INICIAL DEL CONTRATO CON IVA]]+Tabla1513[[#This Row],[VALOR DE LAS ADICIONES CON IVA]]</f>
        <v>91758594</v>
      </c>
      <c r="S15" s="4">
        <v>311</v>
      </c>
      <c r="T15" s="56" t="s">
        <v>317</v>
      </c>
      <c r="U15" s="58">
        <f>+Tabla1513[[#This Row],[FECHA FINAL DEL CONTRATO]]-Tabla1513[[#This Row],[FECHA TERMINACIÓN INICIAL CONTRATO]]</f>
        <v>1461</v>
      </c>
      <c r="V15" s="59" t="s">
        <v>318</v>
      </c>
      <c r="W15" s="60">
        <v>44250</v>
      </c>
      <c r="X15" s="61">
        <v>44561</v>
      </c>
      <c r="Y15" s="61">
        <v>46022</v>
      </c>
      <c r="Z15" s="55" t="s">
        <v>319</v>
      </c>
      <c r="AA15" s="60"/>
      <c r="AB15" s="56"/>
      <c r="AC15" s="56" t="s">
        <v>337</v>
      </c>
      <c r="AD15" s="34">
        <v>1</v>
      </c>
      <c r="AE15" s="34">
        <v>1</v>
      </c>
      <c r="AF15" s="35">
        <v>24297134</v>
      </c>
      <c r="AG15" s="90" t="s">
        <v>312</v>
      </c>
      <c r="AH15" s="63">
        <v>2021</v>
      </c>
    </row>
    <row r="16" spans="1:34" ht="43.5" x14ac:dyDescent="0.35">
      <c r="A16" s="55" t="s">
        <v>330</v>
      </c>
      <c r="B16" s="30" t="s">
        <v>31</v>
      </c>
      <c r="C16" s="30" t="s">
        <v>36</v>
      </c>
      <c r="D16" s="30" t="s">
        <v>412</v>
      </c>
      <c r="E16" s="97" t="s">
        <v>450</v>
      </c>
      <c r="F16" s="60">
        <v>44329</v>
      </c>
      <c r="G16" s="30" t="s">
        <v>150</v>
      </c>
      <c r="H16" s="93" t="s">
        <v>451</v>
      </c>
      <c r="I16" s="101">
        <v>20222907556.299999</v>
      </c>
      <c r="J16" s="101">
        <v>3842352435.6999998</v>
      </c>
      <c r="K16" s="3">
        <v>24065259992</v>
      </c>
      <c r="L16" s="76" t="s">
        <v>84</v>
      </c>
      <c r="M16" s="54">
        <v>800153993</v>
      </c>
      <c r="N16" s="30" t="s">
        <v>117</v>
      </c>
      <c r="O16" s="30" t="s">
        <v>452</v>
      </c>
      <c r="P16" s="56" t="s">
        <v>317</v>
      </c>
      <c r="Q16" s="26">
        <v>5932679927</v>
      </c>
      <c r="R16" s="32">
        <f>+Tabla1513[[#This Row],[VALOR INICIAL DEL CONTRATO CON IVA]]+Tabla1513[[#This Row],[VALOR DE LAS ADICIONES CON IVA]]</f>
        <v>29997939919</v>
      </c>
      <c r="S16" s="4">
        <v>1982</v>
      </c>
      <c r="T16" s="56" t="s">
        <v>318</v>
      </c>
      <c r="U16" s="58"/>
      <c r="V16" s="56" t="s">
        <v>318</v>
      </c>
      <c r="W16" s="60">
        <v>44344</v>
      </c>
      <c r="X16" s="61">
        <v>46326</v>
      </c>
      <c r="Y16" s="61">
        <v>46326</v>
      </c>
      <c r="Z16" s="55" t="s">
        <v>319</v>
      </c>
      <c r="AA16" s="60"/>
      <c r="AB16" s="56"/>
      <c r="AC16" s="56" t="s">
        <v>477</v>
      </c>
      <c r="AD16" s="34">
        <v>0.66149999999999998</v>
      </c>
      <c r="AE16" s="34">
        <v>0.47149999999999997</v>
      </c>
      <c r="AF16" s="35">
        <v>14144932587</v>
      </c>
      <c r="AG16" s="90" t="s">
        <v>453</v>
      </c>
      <c r="AH16" s="63">
        <v>2021</v>
      </c>
    </row>
    <row r="17" spans="1:34" ht="43.5" x14ac:dyDescent="0.35">
      <c r="A17" s="55" t="s">
        <v>330</v>
      </c>
      <c r="B17" s="30" t="s">
        <v>31</v>
      </c>
      <c r="C17" s="30" t="s">
        <v>36</v>
      </c>
      <c r="D17" s="30" t="s">
        <v>412</v>
      </c>
      <c r="E17" s="97" t="s">
        <v>454</v>
      </c>
      <c r="F17" s="60">
        <v>44340</v>
      </c>
      <c r="G17" s="30" t="s">
        <v>150</v>
      </c>
      <c r="H17" s="93" t="s">
        <v>455</v>
      </c>
      <c r="I17" s="101">
        <v>3354812531</v>
      </c>
      <c r="J17" s="101">
        <v>637414380.88999999</v>
      </c>
      <c r="K17" s="3">
        <v>3992226912</v>
      </c>
      <c r="L17" s="76" t="s">
        <v>84</v>
      </c>
      <c r="M17" s="54">
        <v>800153993</v>
      </c>
      <c r="N17" s="30" t="s">
        <v>117</v>
      </c>
      <c r="O17" s="30" t="s">
        <v>452</v>
      </c>
      <c r="P17" s="56" t="s">
        <v>317</v>
      </c>
      <c r="Q17" s="26">
        <v>1994695384</v>
      </c>
      <c r="R17" s="32">
        <f>+Tabla1513[[#This Row],[VALOR INICIAL DEL CONTRATO CON IVA]]+Tabla1513[[#This Row],[VALOR DE LAS ADICIONES CON IVA]]</f>
        <v>5986922296</v>
      </c>
      <c r="S17" s="4">
        <v>1156</v>
      </c>
      <c r="T17" s="56" t="s">
        <v>317</v>
      </c>
      <c r="U17" s="58">
        <v>635</v>
      </c>
      <c r="V17" s="59" t="s">
        <v>318</v>
      </c>
      <c r="W17" s="60">
        <v>44351</v>
      </c>
      <c r="X17" s="61">
        <v>45507</v>
      </c>
      <c r="Y17" s="61">
        <v>46142</v>
      </c>
      <c r="Z17" s="55" t="s">
        <v>319</v>
      </c>
      <c r="AA17" s="60"/>
      <c r="AB17" s="56"/>
      <c r="AC17" s="56" t="s">
        <v>1248</v>
      </c>
      <c r="AD17" s="34">
        <v>0.71</v>
      </c>
      <c r="AE17" s="34">
        <v>0.63</v>
      </c>
      <c r="AF17" s="35">
        <v>3767831287</v>
      </c>
      <c r="AG17" s="90" t="s">
        <v>1621</v>
      </c>
      <c r="AH17" s="63">
        <v>2021</v>
      </c>
    </row>
    <row r="18" spans="1:34" ht="58" x14ac:dyDescent="0.35">
      <c r="A18" s="55" t="s">
        <v>330</v>
      </c>
      <c r="B18" s="30" t="s">
        <v>31</v>
      </c>
      <c r="C18" s="30" t="s">
        <v>37</v>
      </c>
      <c r="D18" s="30" t="s">
        <v>412</v>
      </c>
      <c r="E18" s="97" t="s">
        <v>458</v>
      </c>
      <c r="F18" s="60">
        <v>44476</v>
      </c>
      <c r="G18" s="30" t="s">
        <v>150</v>
      </c>
      <c r="H18" s="93" t="s">
        <v>459</v>
      </c>
      <c r="I18" s="101">
        <v>1194360000</v>
      </c>
      <c r="J18" s="101">
        <v>226928400</v>
      </c>
      <c r="K18" s="3">
        <v>1421288400</v>
      </c>
      <c r="L18" s="76" t="s">
        <v>84</v>
      </c>
      <c r="M18" s="54">
        <v>804013213</v>
      </c>
      <c r="N18" s="30" t="s">
        <v>111</v>
      </c>
      <c r="O18" s="30" t="s">
        <v>460</v>
      </c>
      <c r="P18" s="56" t="s">
        <v>317</v>
      </c>
      <c r="Q18" s="26">
        <v>1421288400</v>
      </c>
      <c r="R18" s="32">
        <f>+Tabla1513[[#This Row],[VALOR INICIAL DEL CONTRATO CON IVA]]+Tabla1513[[#This Row],[VALOR DE LAS ADICIONES CON IVA]]</f>
        <v>2842576800</v>
      </c>
      <c r="S18" s="4">
        <v>730</v>
      </c>
      <c r="T18" s="56" t="s">
        <v>317</v>
      </c>
      <c r="U18" s="58">
        <v>731</v>
      </c>
      <c r="V18" s="59" t="s">
        <v>318</v>
      </c>
      <c r="W18" s="60">
        <v>44481</v>
      </c>
      <c r="X18" s="61">
        <v>45211</v>
      </c>
      <c r="Y18" s="61">
        <v>45942</v>
      </c>
      <c r="Z18" s="72" t="s">
        <v>319</v>
      </c>
      <c r="AA18" s="60"/>
      <c r="AB18" s="56"/>
      <c r="AC18" s="56" t="s">
        <v>415</v>
      </c>
      <c r="AD18" s="34">
        <v>0.79169999999999996</v>
      </c>
      <c r="AE18" s="34">
        <v>0.76</v>
      </c>
      <c r="AF18" s="35">
        <v>2167639120</v>
      </c>
      <c r="AG18" s="90" t="s">
        <v>461</v>
      </c>
      <c r="AH18" s="63">
        <v>2021</v>
      </c>
    </row>
    <row r="19" spans="1:34" ht="101.5" x14ac:dyDescent="0.35">
      <c r="A19" s="55" t="s">
        <v>330</v>
      </c>
      <c r="B19" s="30" t="s">
        <v>422</v>
      </c>
      <c r="C19" s="30" t="s">
        <v>45</v>
      </c>
      <c r="D19" s="100" t="s">
        <v>313</v>
      </c>
      <c r="E19" s="97" t="s">
        <v>463</v>
      </c>
      <c r="F19" s="60">
        <v>44529</v>
      </c>
      <c r="G19" s="30" t="s">
        <v>150</v>
      </c>
      <c r="H19" s="93" t="s">
        <v>462</v>
      </c>
      <c r="I19" s="64">
        <v>103070999</v>
      </c>
      <c r="J19" s="101">
        <v>19583490</v>
      </c>
      <c r="K19" s="33">
        <v>122654489</v>
      </c>
      <c r="L19" s="76" t="s">
        <v>84</v>
      </c>
      <c r="M19" s="54">
        <v>941677765</v>
      </c>
      <c r="N19" s="30" t="s">
        <v>126</v>
      </c>
      <c r="O19" s="30" t="s">
        <v>464</v>
      </c>
      <c r="P19" s="56" t="s">
        <v>317</v>
      </c>
      <c r="Q19" s="26">
        <v>127392000</v>
      </c>
      <c r="R19" s="32">
        <f>+Tabla1513[[#This Row],[VALOR INICIAL DEL CONTRATO CON IVA]]+Tabla1513[[#This Row],[VALOR DE LAS ADICIONES CON IVA]]</f>
        <v>250046489</v>
      </c>
      <c r="S19" s="4">
        <v>1096</v>
      </c>
      <c r="T19" s="56" t="s">
        <v>317</v>
      </c>
      <c r="U19" s="58">
        <v>1067</v>
      </c>
      <c r="V19" s="59" t="s">
        <v>318</v>
      </c>
      <c r="W19" s="60">
        <v>44529</v>
      </c>
      <c r="X19" s="61">
        <v>45625</v>
      </c>
      <c r="Y19" s="61">
        <v>46692</v>
      </c>
      <c r="Z19" s="55" t="s">
        <v>319</v>
      </c>
      <c r="AA19" s="60"/>
      <c r="AB19" s="56"/>
      <c r="AC19" s="56" t="s">
        <v>446</v>
      </c>
      <c r="AD19" s="34">
        <v>0.51</v>
      </c>
      <c r="AE19" s="34">
        <v>0.4</v>
      </c>
      <c r="AF19" s="35">
        <v>102812161</v>
      </c>
      <c r="AG19" s="90" t="s">
        <v>1622</v>
      </c>
      <c r="AH19" s="63">
        <v>2021</v>
      </c>
    </row>
    <row r="20" spans="1:34" ht="58" x14ac:dyDescent="0.35">
      <c r="A20" s="55" t="s">
        <v>330</v>
      </c>
      <c r="B20" s="30" t="s">
        <v>422</v>
      </c>
      <c r="C20" s="30" t="s">
        <v>43</v>
      </c>
      <c r="D20" s="100" t="s">
        <v>313</v>
      </c>
      <c r="E20" s="97" t="s">
        <v>468</v>
      </c>
      <c r="F20" s="60">
        <v>44553</v>
      </c>
      <c r="G20" s="30" t="s">
        <v>150</v>
      </c>
      <c r="H20" s="93" t="s">
        <v>469</v>
      </c>
      <c r="I20" s="101">
        <v>163806667</v>
      </c>
      <c r="J20" s="101">
        <v>27645506</v>
      </c>
      <c r="K20" s="3">
        <v>191452173</v>
      </c>
      <c r="L20" s="76" t="s">
        <v>84</v>
      </c>
      <c r="M20" s="54">
        <v>800135532</v>
      </c>
      <c r="N20" s="30" t="s">
        <v>123</v>
      </c>
      <c r="O20" s="30" t="s">
        <v>470</v>
      </c>
      <c r="P20" s="56" t="s">
        <v>317</v>
      </c>
      <c r="Q20" s="26">
        <f>58200059+30370480+35607040</f>
        <v>124177579</v>
      </c>
      <c r="R20" s="32">
        <f>+Tabla1513[[#This Row],[VALOR INICIAL DEL CONTRATO CON IVA]]+Tabla1513[[#This Row],[VALOR DE LAS ADICIONES CON IVA]]</f>
        <v>315629752</v>
      </c>
      <c r="S20" s="4">
        <v>819</v>
      </c>
      <c r="T20" s="56" t="s">
        <v>317</v>
      </c>
      <c r="U20" s="58">
        <f>+Tabla1513[[#This Row],[FECHA FINAL DEL CONTRATO]]-Tabla1513[[#This Row],[FECHA TERMINACIÓN INICIAL CONTRATO]]</f>
        <v>669</v>
      </c>
      <c r="V20" s="59" t="s">
        <v>318</v>
      </c>
      <c r="W20" s="60">
        <v>44593</v>
      </c>
      <c r="X20" s="61">
        <v>45412</v>
      </c>
      <c r="Y20" s="61">
        <v>46081</v>
      </c>
      <c r="Z20" s="55" t="s">
        <v>319</v>
      </c>
      <c r="AA20" s="60"/>
      <c r="AB20" s="56"/>
      <c r="AC20" s="56" t="s">
        <v>1144</v>
      </c>
      <c r="AD20" s="34">
        <v>1</v>
      </c>
      <c r="AE20" s="34">
        <v>0.79</v>
      </c>
      <c r="AF20" s="35">
        <v>198276282.41</v>
      </c>
      <c r="AG20" s="90" t="s">
        <v>471</v>
      </c>
      <c r="AH20" s="63">
        <v>2021</v>
      </c>
    </row>
    <row r="21" spans="1:34" ht="43.5" x14ac:dyDescent="0.35">
      <c r="A21" s="55" t="s">
        <v>330</v>
      </c>
      <c r="B21" s="30" t="s">
        <v>31</v>
      </c>
      <c r="C21" s="30" t="s">
        <v>36</v>
      </c>
      <c r="D21" s="30" t="s">
        <v>412</v>
      </c>
      <c r="E21" s="97" t="s">
        <v>478</v>
      </c>
      <c r="F21" s="60">
        <v>44799</v>
      </c>
      <c r="G21" s="30" t="s">
        <v>150</v>
      </c>
      <c r="H21" s="93" t="s">
        <v>479</v>
      </c>
      <c r="I21" s="101">
        <v>986616695.79999995</v>
      </c>
      <c r="J21" s="101">
        <v>187457172</v>
      </c>
      <c r="K21" s="3">
        <v>1174073868</v>
      </c>
      <c r="L21" s="76" t="s">
        <v>84</v>
      </c>
      <c r="M21" s="54">
        <v>900335814</v>
      </c>
      <c r="N21" s="30" t="s">
        <v>91</v>
      </c>
      <c r="O21" s="30" t="s">
        <v>430</v>
      </c>
      <c r="P21" s="56" t="s">
        <v>317</v>
      </c>
      <c r="Q21" s="26">
        <v>1173474664</v>
      </c>
      <c r="R21" s="32">
        <f>+Tabla1513[[#This Row],[VALOR INICIAL DEL CONTRATO CON IVA]]+Tabla1513[[#This Row],[VALOR DE LAS ADICIONES CON IVA]]</f>
        <v>2347548532</v>
      </c>
      <c r="S21" s="4">
        <v>1095</v>
      </c>
      <c r="T21" s="56" t="s">
        <v>317</v>
      </c>
      <c r="U21" s="102">
        <f>+Tabla1513[[#This Row],[FECHA FINAL DEL CONTRATO]]-Tabla1513[[#This Row],[FECHA TERMINACIÓN INICIAL CONTRATO]]</f>
        <v>1096</v>
      </c>
      <c r="V21" s="56" t="s">
        <v>318</v>
      </c>
      <c r="W21" s="60">
        <v>44805</v>
      </c>
      <c r="X21" s="61">
        <v>45900</v>
      </c>
      <c r="Y21" s="61">
        <v>46996</v>
      </c>
      <c r="Z21" s="55" t="s">
        <v>319</v>
      </c>
      <c r="AA21" s="60"/>
      <c r="AB21" s="56"/>
      <c r="AC21" s="56" t="s">
        <v>457</v>
      </c>
      <c r="AD21" s="34">
        <v>0.78</v>
      </c>
      <c r="AE21" s="34">
        <v>0.77</v>
      </c>
      <c r="AF21" s="35">
        <v>272523680</v>
      </c>
      <c r="AG21" s="90"/>
      <c r="AH21" s="63">
        <v>2022</v>
      </c>
    </row>
    <row r="22" spans="1:34" ht="29" x14ac:dyDescent="0.35">
      <c r="A22" s="55" t="s">
        <v>330</v>
      </c>
      <c r="B22" s="30" t="s">
        <v>410</v>
      </c>
      <c r="C22" s="30" t="s">
        <v>66</v>
      </c>
      <c r="D22" s="30" t="s">
        <v>412</v>
      </c>
      <c r="E22" s="97" t="s">
        <v>480</v>
      </c>
      <c r="F22" s="60">
        <v>44826</v>
      </c>
      <c r="G22" s="30" t="s">
        <v>481</v>
      </c>
      <c r="H22" s="93" t="s">
        <v>482</v>
      </c>
      <c r="I22" s="101">
        <v>773217479</v>
      </c>
      <c r="J22" s="101">
        <v>146911321</v>
      </c>
      <c r="K22" s="3">
        <v>920128800</v>
      </c>
      <c r="L22" s="76" t="s">
        <v>84</v>
      </c>
      <c r="M22" s="54">
        <v>371490331</v>
      </c>
      <c r="N22" s="30"/>
      <c r="O22" s="30" t="s">
        <v>483</v>
      </c>
      <c r="P22" s="56" t="s">
        <v>318</v>
      </c>
      <c r="Q22" s="26"/>
      <c r="R22" s="32">
        <f>+Tabla1513[[#This Row],[VALOR INICIAL DEL CONTRATO CON IVA]]+Tabla1513[[#This Row],[VALOR DE LAS ADICIONES CON IVA]]</f>
        <v>920128800</v>
      </c>
      <c r="S22" s="4">
        <v>1096</v>
      </c>
      <c r="T22" s="56" t="s">
        <v>318</v>
      </c>
      <c r="U22" s="30"/>
      <c r="V22" s="56" t="s">
        <v>318</v>
      </c>
      <c r="W22" s="60">
        <v>44881</v>
      </c>
      <c r="X22" s="61">
        <v>45977</v>
      </c>
      <c r="Y22" s="61">
        <v>45977</v>
      </c>
      <c r="Z22" s="55" t="s">
        <v>319</v>
      </c>
      <c r="AA22" s="60"/>
      <c r="AB22" s="56" t="s">
        <v>406</v>
      </c>
      <c r="AC22" s="56" t="s">
        <v>477</v>
      </c>
      <c r="AD22" s="34">
        <v>0.70799999999999996</v>
      </c>
      <c r="AE22" s="34">
        <v>0.65790000000000004</v>
      </c>
      <c r="AF22" s="35">
        <v>605392800</v>
      </c>
      <c r="AG22" s="90"/>
      <c r="AH22" s="63">
        <v>2022</v>
      </c>
    </row>
    <row r="23" spans="1:34" ht="43.5" x14ac:dyDescent="0.35">
      <c r="A23" s="55" t="s">
        <v>330</v>
      </c>
      <c r="B23" s="30" t="s">
        <v>31</v>
      </c>
      <c r="C23" s="30" t="s">
        <v>484</v>
      </c>
      <c r="D23" s="30" t="s">
        <v>412</v>
      </c>
      <c r="E23" s="97" t="s">
        <v>485</v>
      </c>
      <c r="F23" s="60">
        <v>44837</v>
      </c>
      <c r="G23" s="30" t="s">
        <v>150</v>
      </c>
      <c r="H23" s="93" t="s">
        <v>486</v>
      </c>
      <c r="I23" s="101">
        <v>2588902732</v>
      </c>
      <c r="J23" s="101">
        <v>491891519</v>
      </c>
      <c r="K23" s="3">
        <v>3080794251</v>
      </c>
      <c r="L23" s="76" t="s">
        <v>84</v>
      </c>
      <c r="M23" s="54">
        <v>830075303</v>
      </c>
      <c r="N23" s="30" t="s">
        <v>91</v>
      </c>
      <c r="O23" s="30" t="s">
        <v>487</v>
      </c>
      <c r="P23" s="56" t="s">
        <v>318</v>
      </c>
      <c r="Q23" s="26"/>
      <c r="R23" s="32">
        <f>+Tabla1513[[#This Row],[VALOR INICIAL DEL CONTRATO CON IVA]]+Tabla1513[[#This Row],[VALOR DE LAS ADICIONES CON IVA]]</f>
        <v>3080794251</v>
      </c>
      <c r="S23" s="4">
        <v>1187</v>
      </c>
      <c r="T23" s="56" t="s">
        <v>318</v>
      </c>
      <c r="U23" s="30"/>
      <c r="V23" s="56" t="s">
        <v>318</v>
      </c>
      <c r="W23" s="60">
        <v>44848</v>
      </c>
      <c r="X23" s="61">
        <v>46035</v>
      </c>
      <c r="Y23" s="61">
        <v>46035</v>
      </c>
      <c r="Z23" s="55" t="s">
        <v>319</v>
      </c>
      <c r="AA23" s="60"/>
      <c r="AB23" s="56"/>
      <c r="AC23" s="56" t="s">
        <v>1746</v>
      </c>
      <c r="AD23" s="34">
        <v>0</v>
      </c>
      <c r="AE23" s="34">
        <v>0</v>
      </c>
      <c r="AF23" s="35">
        <v>0</v>
      </c>
      <c r="AG23" s="90"/>
      <c r="AH23" s="63">
        <v>2022</v>
      </c>
    </row>
    <row r="24" spans="1:34" ht="29" x14ac:dyDescent="0.35">
      <c r="A24" s="55" t="s">
        <v>330</v>
      </c>
      <c r="B24" s="30" t="s">
        <v>4</v>
      </c>
      <c r="C24" s="30" t="s">
        <v>488</v>
      </c>
      <c r="D24" s="30" t="s">
        <v>412</v>
      </c>
      <c r="E24" s="97" t="s">
        <v>489</v>
      </c>
      <c r="F24" s="60">
        <v>44833</v>
      </c>
      <c r="G24" s="30" t="s">
        <v>150</v>
      </c>
      <c r="H24" s="93" t="s">
        <v>490</v>
      </c>
      <c r="I24" s="101">
        <v>4531352919</v>
      </c>
      <c r="J24" s="101">
        <v>860957055</v>
      </c>
      <c r="K24" s="3">
        <v>5392309974</v>
      </c>
      <c r="L24" s="76" t="s">
        <v>84</v>
      </c>
      <c r="M24" s="54">
        <v>860036884</v>
      </c>
      <c r="N24" s="30" t="s">
        <v>91</v>
      </c>
      <c r="O24" s="30" t="s">
        <v>491</v>
      </c>
      <c r="P24" s="56" t="s">
        <v>318</v>
      </c>
      <c r="Q24" s="26"/>
      <c r="R24" s="32">
        <f>+Tabla1513[[#This Row],[VALOR INICIAL DEL CONTRATO CON IVA]]+Tabla1513[[#This Row],[VALOR DE LAS ADICIONES CON IVA]]</f>
        <v>5392309974</v>
      </c>
      <c r="S24" s="4">
        <v>1096</v>
      </c>
      <c r="T24" s="56" t="s">
        <v>318</v>
      </c>
      <c r="U24" s="30"/>
      <c r="V24" s="56" t="s">
        <v>318</v>
      </c>
      <c r="W24" s="60">
        <v>44834</v>
      </c>
      <c r="X24" s="61">
        <v>45930</v>
      </c>
      <c r="Y24" s="61">
        <v>45930</v>
      </c>
      <c r="Z24" s="72" t="s">
        <v>319</v>
      </c>
      <c r="AA24" s="60"/>
      <c r="AB24" s="56" t="s">
        <v>406</v>
      </c>
      <c r="AC24" s="56" t="s">
        <v>434</v>
      </c>
      <c r="AD24" s="34">
        <v>0.74</v>
      </c>
      <c r="AE24" s="34">
        <v>0.74</v>
      </c>
      <c r="AF24" s="35">
        <v>4005093788.96</v>
      </c>
      <c r="AG24" s="90"/>
      <c r="AH24" s="63">
        <v>2022</v>
      </c>
    </row>
    <row r="25" spans="1:34" s="1" customFormat="1" ht="43.5" x14ac:dyDescent="0.35">
      <c r="A25" s="103" t="s">
        <v>330</v>
      </c>
      <c r="B25" s="37" t="s">
        <v>440</v>
      </c>
      <c r="C25" s="30" t="s">
        <v>53</v>
      </c>
      <c r="D25" s="30" t="s">
        <v>412</v>
      </c>
      <c r="E25" s="104" t="s">
        <v>493</v>
      </c>
      <c r="F25" s="105">
        <v>44848</v>
      </c>
      <c r="G25" s="30" t="s">
        <v>150</v>
      </c>
      <c r="H25" s="93" t="s">
        <v>494</v>
      </c>
      <c r="I25" s="106">
        <v>30101814326</v>
      </c>
      <c r="J25" s="106">
        <v>0</v>
      </c>
      <c r="K25" s="39">
        <v>30101814326</v>
      </c>
      <c r="L25" s="76" t="s">
        <v>84</v>
      </c>
      <c r="M25" s="67">
        <v>901643782</v>
      </c>
      <c r="N25" s="37" t="s">
        <v>123</v>
      </c>
      <c r="O25" s="30" t="s">
        <v>495</v>
      </c>
      <c r="P25" s="107" t="s">
        <v>317</v>
      </c>
      <c r="Q25" s="53">
        <f>18309479520+16867374963</f>
        <v>35176854483</v>
      </c>
      <c r="R25" s="32">
        <f>+Tabla1513[[#This Row],[VALOR INICIAL DEL CONTRATO CON IVA]]+Tabla1513[[#This Row],[VALOR DE LAS ADICIONES CON IVA]]</f>
        <v>65278668809</v>
      </c>
      <c r="S25" s="40">
        <v>1187</v>
      </c>
      <c r="T25" s="107" t="s">
        <v>318</v>
      </c>
      <c r="U25" s="37"/>
      <c r="V25" s="56" t="s">
        <v>318</v>
      </c>
      <c r="W25" s="105">
        <v>44855</v>
      </c>
      <c r="X25" s="108">
        <v>46042</v>
      </c>
      <c r="Y25" s="108">
        <v>46042</v>
      </c>
      <c r="Z25" s="103" t="s">
        <v>319</v>
      </c>
      <c r="AA25" s="105"/>
      <c r="AB25" s="56"/>
      <c r="AC25" s="107" t="s">
        <v>441</v>
      </c>
      <c r="AD25" s="27">
        <v>0.67606923076923076</v>
      </c>
      <c r="AE25" s="27">
        <v>0.62547759016867632</v>
      </c>
      <c r="AF25" s="41">
        <v>30280179411.750004</v>
      </c>
      <c r="AG25" s="90" t="s">
        <v>496</v>
      </c>
      <c r="AH25" s="68">
        <v>2022</v>
      </c>
    </row>
    <row r="26" spans="1:34" ht="43.5" x14ac:dyDescent="0.35">
      <c r="A26" s="55" t="s">
        <v>330</v>
      </c>
      <c r="B26" s="30" t="s">
        <v>31</v>
      </c>
      <c r="C26" s="30" t="s">
        <v>36</v>
      </c>
      <c r="D26" s="30" t="s">
        <v>313</v>
      </c>
      <c r="E26" s="97" t="s">
        <v>497</v>
      </c>
      <c r="F26" s="60">
        <v>44868</v>
      </c>
      <c r="G26" s="30" t="s">
        <v>113</v>
      </c>
      <c r="H26" s="93" t="s">
        <v>498</v>
      </c>
      <c r="I26" s="101">
        <v>41517526.890756302</v>
      </c>
      <c r="J26" s="101">
        <v>7888330.1092436975</v>
      </c>
      <c r="K26" s="3">
        <v>49405857</v>
      </c>
      <c r="L26" s="76" t="s">
        <v>84</v>
      </c>
      <c r="M26" s="54">
        <v>900531376</v>
      </c>
      <c r="N26" s="30" t="s">
        <v>117</v>
      </c>
      <c r="O26" s="30" t="s">
        <v>499</v>
      </c>
      <c r="P26" s="56" t="s">
        <v>318</v>
      </c>
      <c r="Q26" s="26"/>
      <c r="R26" s="32">
        <f>+Tabla1513[[#This Row],[VALOR INICIAL DEL CONTRATO CON IVA]]+Tabla1513[[#This Row],[VALOR DE LAS ADICIONES CON IVA]]</f>
        <v>49405857</v>
      </c>
      <c r="S26" s="4">
        <v>1095</v>
      </c>
      <c r="T26" s="56" t="s">
        <v>318</v>
      </c>
      <c r="U26" s="58"/>
      <c r="V26" s="56" t="s">
        <v>318</v>
      </c>
      <c r="W26" s="60">
        <v>44873</v>
      </c>
      <c r="X26" s="61">
        <v>45968</v>
      </c>
      <c r="Y26" s="61">
        <v>45968</v>
      </c>
      <c r="Z26" s="55" t="s">
        <v>319</v>
      </c>
      <c r="AA26" s="60"/>
      <c r="AB26" s="56"/>
      <c r="AC26" s="56" t="s">
        <v>1251</v>
      </c>
      <c r="AD26" s="34">
        <v>0.72219999999999995</v>
      </c>
      <c r="AE26" s="34">
        <v>0.9355</v>
      </c>
      <c r="AF26" s="35">
        <v>46218382</v>
      </c>
      <c r="AG26" s="90"/>
      <c r="AH26" s="63">
        <v>2022</v>
      </c>
    </row>
    <row r="27" spans="1:34" ht="43.5" x14ac:dyDescent="0.35">
      <c r="A27" s="55" t="s">
        <v>330</v>
      </c>
      <c r="B27" s="30" t="s">
        <v>11</v>
      </c>
      <c r="C27" s="30" t="s">
        <v>331</v>
      </c>
      <c r="D27" s="30" t="s">
        <v>313</v>
      </c>
      <c r="E27" s="97" t="s">
        <v>500</v>
      </c>
      <c r="F27" s="60">
        <v>44874</v>
      </c>
      <c r="G27" s="30" t="s">
        <v>142</v>
      </c>
      <c r="H27" s="93" t="s">
        <v>501</v>
      </c>
      <c r="I27" s="101">
        <v>6229391</v>
      </c>
      <c r="J27" s="101">
        <v>1183584</v>
      </c>
      <c r="K27" s="3">
        <v>7412975</v>
      </c>
      <c r="L27" s="76" t="s">
        <v>84</v>
      </c>
      <c r="M27" s="54">
        <v>901277134</v>
      </c>
      <c r="N27" s="30" t="s">
        <v>114</v>
      </c>
      <c r="O27" s="30" t="s">
        <v>502</v>
      </c>
      <c r="P27" s="56" t="s">
        <v>318</v>
      </c>
      <c r="Q27" s="26"/>
      <c r="R27" s="32">
        <f>+Tabla1513[[#This Row],[VALOR INICIAL DEL CONTRATO CON IVA]]+Tabla1513[[#This Row],[VALOR DE LAS ADICIONES CON IVA]]</f>
        <v>7412975</v>
      </c>
      <c r="S27" s="4">
        <v>1095</v>
      </c>
      <c r="T27" s="56" t="s">
        <v>318</v>
      </c>
      <c r="U27" s="58"/>
      <c r="V27" s="56" t="s">
        <v>318</v>
      </c>
      <c r="W27" s="60">
        <v>44896</v>
      </c>
      <c r="X27" s="61">
        <v>45991</v>
      </c>
      <c r="Y27" s="61">
        <v>45991</v>
      </c>
      <c r="Z27" s="55" t="s">
        <v>319</v>
      </c>
      <c r="AA27" s="60"/>
      <c r="AB27" s="56"/>
      <c r="AC27" s="56" t="s">
        <v>467</v>
      </c>
      <c r="AD27" s="34">
        <v>1</v>
      </c>
      <c r="AE27" s="34">
        <v>0.93</v>
      </c>
      <c r="AF27" s="35">
        <v>6913000</v>
      </c>
      <c r="AG27" s="90"/>
      <c r="AH27" s="63">
        <v>2022</v>
      </c>
    </row>
    <row r="28" spans="1:34" ht="43.5" x14ac:dyDescent="0.35">
      <c r="A28" s="55" t="s">
        <v>330</v>
      </c>
      <c r="B28" s="30" t="s">
        <v>31</v>
      </c>
      <c r="C28" s="30" t="s">
        <v>36</v>
      </c>
      <c r="D28" s="30" t="s">
        <v>412</v>
      </c>
      <c r="E28" s="97" t="s">
        <v>503</v>
      </c>
      <c r="F28" s="60">
        <v>44883</v>
      </c>
      <c r="G28" s="30" t="s">
        <v>150</v>
      </c>
      <c r="H28" s="93" t="s">
        <v>504</v>
      </c>
      <c r="I28" s="101">
        <v>2444973467.226891</v>
      </c>
      <c r="J28" s="101">
        <v>464544958.77310932</v>
      </c>
      <c r="K28" s="3">
        <v>2909518426</v>
      </c>
      <c r="L28" s="76" t="s">
        <v>84</v>
      </c>
      <c r="M28" s="54">
        <v>800058607</v>
      </c>
      <c r="N28" s="30" t="s">
        <v>97</v>
      </c>
      <c r="O28" s="30" t="s">
        <v>505</v>
      </c>
      <c r="P28" s="56" t="s">
        <v>317</v>
      </c>
      <c r="Q28" s="26">
        <v>1952518565</v>
      </c>
      <c r="R28" s="32">
        <f>+Tabla1513[[#This Row],[VALOR INICIAL DEL CONTRATO CON IVA]]+Tabla1513[[#This Row],[VALOR DE LAS ADICIONES CON IVA]]</f>
        <v>4862036991</v>
      </c>
      <c r="S28" s="4">
        <v>730</v>
      </c>
      <c r="T28" s="56" t="s">
        <v>317</v>
      </c>
      <c r="U28" s="58">
        <v>365</v>
      </c>
      <c r="V28" s="59" t="s">
        <v>318</v>
      </c>
      <c r="W28" s="60">
        <v>44883</v>
      </c>
      <c r="X28" s="61">
        <v>45613</v>
      </c>
      <c r="Y28" s="61">
        <v>45978</v>
      </c>
      <c r="Z28" s="55" t="s">
        <v>319</v>
      </c>
      <c r="AA28" s="60"/>
      <c r="AB28" s="56"/>
      <c r="AC28" s="56" t="s">
        <v>1245</v>
      </c>
      <c r="AD28" s="34">
        <v>0.69440000000000002</v>
      </c>
      <c r="AE28" s="34">
        <v>0.88670000000000004</v>
      </c>
      <c r="AF28" s="35">
        <v>4311090535.79</v>
      </c>
      <c r="AG28" s="90" t="s">
        <v>506</v>
      </c>
      <c r="AH28" s="63">
        <v>2022</v>
      </c>
    </row>
    <row r="29" spans="1:34" ht="35" customHeight="1" x14ac:dyDescent="0.35">
      <c r="A29" s="55" t="s">
        <v>330</v>
      </c>
      <c r="B29" s="30" t="s">
        <v>310</v>
      </c>
      <c r="C29" s="30" t="s">
        <v>507</v>
      </c>
      <c r="D29" s="30" t="s">
        <v>362</v>
      </c>
      <c r="E29" s="97" t="s">
        <v>508</v>
      </c>
      <c r="F29" s="60">
        <v>44895</v>
      </c>
      <c r="G29" s="30" t="s">
        <v>150</v>
      </c>
      <c r="H29" s="93" t="s">
        <v>509</v>
      </c>
      <c r="I29" s="64">
        <v>285354035</v>
      </c>
      <c r="J29" s="101">
        <v>54217268</v>
      </c>
      <c r="K29" s="33">
        <v>339571303</v>
      </c>
      <c r="L29" s="76" t="s">
        <v>84</v>
      </c>
      <c r="M29" s="54">
        <v>900518919</v>
      </c>
      <c r="N29" s="30" t="s">
        <v>97</v>
      </c>
      <c r="O29" s="30" t="s">
        <v>510</v>
      </c>
      <c r="P29" s="56" t="s">
        <v>318</v>
      </c>
      <c r="Q29" s="26"/>
      <c r="R29" s="32">
        <f>+Tabla1513[[#This Row],[VALOR INICIAL DEL CONTRATO CON IVA]]+Tabla1513[[#This Row],[VALOR DE LAS ADICIONES CON IVA]]</f>
        <v>339571303</v>
      </c>
      <c r="S29" s="4">
        <v>1339</v>
      </c>
      <c r="T29" s="56" t="s">
        <v>318</v>
      </c>
      <c r="U29" s="58"/>
      <c r="V29" s="56" t="s">
        <v>318</v>
      </c>
      <c r="W29" s="60">
        <v>44895</v>
      </c>
      <c r="X29" s="61">
        <v>46234</v>
      </c>
      <c r="Y29" s="61">
        <v>46234</v>
      </c>
      <c r="Z29" s="55" t="s">
        <v>319</v>
      </c>
      <c r="AA29" s="60"/>
      <c r="AB29" s="56"/>
      <c r="AC29" s="56" t="s">
        <v>1053</v>
      </c>
      <c r="AD29" s="34">
        <v>0.75</v>
      </c>
      <c r="AE29" s="34">
        <v>0.87</v>
      </c>
      <c r="AF29" s="35">
        <v>295249187.58999997</v>
      </c>
      <c r="AG29" s="90" t="s">
        <v>1842</v>
      </c>
      <c r="AH29" s="63">
        <v>2022</v>
      </c>
    </row>
    <row r="30" spans="1:34" ht="29" x14ac:dyDescent="0.35">
      <c r="A30" s="55" t="s">
        <v>330</v>
      </c>
      <c r="B30" s="30" t="s">
        <v>310</v>
      </c>
      <c r="C30" s="30" t="s">
        <v>507</v>
      </c>
      <c r="D30" s="30" t="s">
        <v>313</v>
      </c>
      <c r="E30" s="97" t="s">
        <v>512</v>
      </c>
      <c r="F30" s="60">
        <v>44896</v>
      </c>
      <c r="G30" s="30" t="s">
        <v>150</v>
      </c>
      <c r="H30" s="93" t="s">
        <v>513</v>
      </c>
      <c r="I30" s="64">
        <v>198634860</v>
      </c>
      <c r="J30" s="101">
        <v>37740623</v>
      </c>
      <c r="K30" s="33">
        <v>236375483</v>
      </c>
      <c r="L30" s="76" t="s">
        <v>84</v>
      </c>
      <c r="M30" s="54">
        <v>900687292</v>
      </c>
      <c r="N30" s="30" t="s">
        <v>117</v>
      </c>
      <c r="O30" s="30" t="s">
        <v>514</v>
      </c>
      <c r="P30" s="56" t="s">
        <v>318</v>
      </c>
      <c r="Q30" s="26"/>
      <c r="R30" s="32">
        <f>+Tabla1513[[#This Row],[VALOR INICIAL DEL CONTRATO CON IVA]]+Tabla1513[[#This Row],[VALOR DE LAS ADICIONES CON IVA]]</f>
        <v>236375483</v>
      </c>
      <c r="S30" s="4">
        <v>1445</v>
      </c>
      <c r="T30" s="56" t="s">
        <v>318</v>
      </c>
      <c r="U30" s="58"/>
      <c r="V30" s="56" t="s">
        <v>318</v>
      </c>
      <c r="W30" s="60">
        <v>44911</v>
      </c>
      <c r="X30" s="61">
        <v>46356</v>
      </c>
      <c r="Y30" s="61">
        <v>46356</v>
      </c>
      <c r="Z30" s="55" t="s">
        <v>319</v>
      </c>
      <c r="AA30" s="60"/>
      <c r="AB30" s="56"/>
      <c r="AC30" s="56" t="s">
        <v>1053</v>
      </c>
      <c r="AD30" s="34">
        <v>0.68</v>
      </c>
      <c r="AE30" s="34">
        <v>0.56999999999999995</v>
      </c>
      <c r="AF30" s="35">
        <v>135127564</v>
      </c>
      <c r="AG30" s="90" t="s">
        <v>1843</v>
      </c>
      <c r="AH30" s="63">
        <v>2022</v>
      </c>
    </row>
    <row r="31" spans="1:34" ht="29" x14ac:dyDescent="0.35">
      <c r="A31" s="55" t="s">
        <v>330</v>
      </c>
      <c r="B31" s="30" t="s">
        <v>422</v>
      </c>
      <c r="C31" s="30" t="s">
        <v>43</v>
      </c>
      <c r="D31" s="30" t="s">
        <v>313</v>
      </c>
      <c r="E31" s="97" t="s">
        <v>516</v>
      </c>
      <c r="F31" s="60">
        <v>44914</v>
      </c>
      <c r="G31" s="30" t="s">
        <v>150</v>
      </c>
      <c r="H31" s="93" t="s">
        <v>1748</v>
      </c>
      <c r="I31" s="101">
        <v>132418297</v>
      </c>
      <c r="J31" s="101">
        <v>25159476</v>
      </c>
      <c r="K31" s="3">
        <v>157577773</v>
      </c>
      <c r="L31" s="76" t="s">
        <v>84</v>
      </c>
      <c r="M31" s="54">
        <v>900463380</v>
      </c>
      <c r="N31" s="30" t="s">
        <v>111</v>
      </c>
      <c r="O31" s="30" t="s">
        <v>517</v>
      </c>
      <c r="P31" s="56" t="s">
        <v>318</v>
      </c>
      <c r="Q31" s="26"/>
      <c r="R31" s="32">
        <f>+Tabla1513[[#This Row],[VALOR INICIAL DEL CONTRATO CON IVA]]+Tabla1513[[#This Row],[VALOR DE LAS ADICIONES CON IVA]]</f>
        <v>157577773</v>
      </c>
      <c r="S31" s="4">
        <v>1095</v>
      </c>
      <c r="T31" s="56" t="s">
        <v>318</v>
      </c>
      <c r="U31" s="58"/>
      <c r="V31" s="56" t="s">
        <v>318</v>
      </c>
      <c r="W31" s="60">
        <v>44927</v>
      </c>
      <c r="X31" s="61">
        <v>46022</v>
      </c>
      <c r="Y31" s="61">
        <v>46022</v>
      </c>
      <c r="Z31" s="55" t="s">
        <v>319</v>
      </c>
      <c r="AA31" s="60"/>
      <c r="AB31" s="56"/>
      <c r="AC31" s="56" t="s">
        <v>558</v>
      </c>
      <c r="AD31" s="34">
        <v>0.67</v>
      </c>
      <c r="AE31" s="34">
        <v>0.33</v>
      </c>
      <c r="AF31" s="35">
        <v>51528300</v>
      </c>
      <c r="AG31" s="90"/>
      <c r="AH31" s="63">
        <v>2022</v>
      </c>
    </row>
    <row r="32" spans="1:34" ht="43.5" x14ac:dyDescent="0.35">
      <c r="A32" s="55" t="s">
        <v>330</v>
      </c>
      <c r="B32" s="30" t="s">
        <v>410</v>
      </c>
      <c r="C32" s="30" t="s">
        <v>72</v>
      </c>
      <c r="D32" s="30" t="s">
        <v>313</v>
      </c>
      <c r="E32" s="97" t="s">
        <v>518</v>
      </c>
      <c r="F32" s="60">
        <v>44922</v>
      </c>
      <c r="G32" s="30" t="s">
        <v>132</v>
      </c>
      <c r="H32" s="93" t="s">
        <v>519</v>
      </c>
      <c r="I32" s="64">
        <v>68027904</v>
      </c>
      <c r="J32" s="101">
        <v>12925301</v>
      </c>
      <c r="K32" s="33">
        <v>80953205</v>
      </c>
      <c r="L32" s="76" t="s">
        <v>84</v>
      </c>
      <c r="M32" s="54">
        <v>860525148</v>
      </c>
      <c r="N32" s="30" t="s">
        <v>111</v>
      </c>
      <c r="O32" s="30" t="s">
        <v>520</v>
      </c>
      <c r="P32" s="56" t="s">
        <v>318</v>
      </c>
      <c r="Q32" s="26"/>
      <c r="R32" s="32">
        <f>+Tabla1513[[#This Row],[VALOR INICIAL DEL CONTRATO CON IVA]]+Tabla1513[[#This Row],[VALOR DE LAS ADICIONES CON IVA]]</f>
        <v>80953205</v>
      </c>
      <c r="S32" s="4">
        <v>1095</v>
      </c>
      <c r="T32" s="56" t="s">
        <v>318</v>
      </c>
      <c r="U32" s="58"/>
      <c r="V32" s="56" t="s">
        <v>318</v>
      </c>
      <c r="W32" s="60">
        <v>44927</v>
      </c>
      <c r="X32" s="61">
        <v>46022</v>
      </c>
      <c r="Y32" s="61">
        <v>46022</v>
      </c>
      <c r="Z32" s="55" t="s">
        <v>319</v>
      </c>
      <c r="AA32" s="60"/>
      <c r="AB32" s="56"/>
      <c r="AC32" s="56" t="s">
        <v>715</v>
      </c>
      <c r="AD32" s="34">
        <v>0.66700000000000004</v>
      </c>
      <c r="AE32" s="34">
        <v>0.57399999999999995</v>
      </c>
      <c r="AF32" s="35">
        <v>39060000</v>
      </c>
      <c r="AG32" s="90"/>
      <c r="AH32" s="63">
        <v>2022</v>
      </c>
    </row>
    <row r="33" spans="1:34" s="1" customFormat="1" ht="43.5" x14ac:dyDescent="0.35">
      <c r="A33" s="103" t="s">
        <v>330</v>
      </c>
      <c r="B33" s="37" t="s">
        <v>11</v>
      </c>
      <c r="C33" s="30" t="s">
        <v>20</v>
      </c>
      <c r="D33" s="30" t="s">
        <v>313</v>
      </c>
      <c r="E33" s="104" t="s">
        <v>521</v>
      </c>
      <c r="F33" s="105">
        <v>44918</v>
      </c>
      <c r="G33" s="30" t="s">
        <v>150</v>
      </c>
      <c r="H33" s="93" t="s">
        <v>522</v>
      </c>
      <c r="I33" s="106">
        <v>20000000</v>
      </c>
      <c r="J33" s="106">
        <v>3800000</v>
      </c>
      <c r="K33" s="39">
        <v>23800000</v>
      </c>
      <c r="L33" s="76" t="s">
        <v>84</v>
      </c>
      <c r="M33" s="67">
        <v>830076042</v>
      </c>
      <c r="N33" s="37" t="s">
        <v>117</v>
      </c>
      <c r="O33" s="30" t="s">
        <v>523</v>
      </c>
      <c r="P33" s="107" t="s">
        <v>317</v>
      </c>
      <c r="Q33" s="53">
        <v>12602100</v>
      </c>
      <c r="R33" s="32">
        <f>+Tabla1513[[#This Row],[VALOR INICIAL DEL CONTRATO CON IVA]]+Tabla1513[[#This Row],[VALOR DE LAS ADICIONES CON IVA]]</f>
        <v>36402100</v>
      </c>
      <c r="S33" s="40">
        <v>730</v>
      </c>
      <c r="T33" s="107" t="s">
        <v>317</v>
      </c>
      <c r="U33" s="109">
        <v>364</v>
      </c>
      <c r="V33" s="110" t="s">
        <v>318</v>
      </c>
      <c r="W33" s="105">
        <v>44928</v>
      </c>
      <c r="X33" s="108">
        <v>45658</v>
      </c>
      <c r="Y33" s="108">
        <v>46022</v>
      </c>
      <c r="Z33" s="103" t="s">
        <v>319</v>
      </c>
      <c r="AA33" s="105"/>
      <c r="AB33" s="56"/>
      <c r="AC33" s="107" t="s">
        <v>425</v>
      </c>
      <c r="AD33" s="27">
        <v>0.67</v>
      </c>
      <c r="AE33" s="27">
        <v>0.43</v>
      </c>
      <c r="AF33" s="41">
        <v>15525342</v>
      </c>
      <c r="AG33" s="90"/>
      <c r="AH33" s="68">
        <v>2022</v>
      </c>
    </row>
    <row r="34" spans="1:34" ht="43.5" x14ac:dyDescent="0.35">
      <c r="A34" s="55" t="s">
        <v>330</v>
      </c>
      <c r="B34" s="2" t="s">
        <v>410</v>
      </c>
      <c r="C34" s="30" t="s">
        <v>72</v>
      </c>
      <c r="D34" s="100" t="s">
        <v>313</v>
      </c>
      <c r="E34" s="97" t="s">
        <v>209</v>
      </c>
      <c r="F34" s="60">
        <v>44944</v>
      </c>
      <c r="G34" s="30" t="s">
        <v>150</v>
      </c>
      <c r="H34" s="93" t="s">
        <v>525</v>
      </c>
      <c r="I34" s="64">
        <v>856162716</v>
      </c>
      <c r="J34" s="101">
        <v>162670917</v>
      </c>
      <c r="K34" s="3">
        <v>1018833633</v>
      </c>
      <c r="L34" s="76" t="s">
        <v>84</v>
      </c>
      <c r="M34" s="54">
        <v>900422614</v>
      </c>
      <c r="N34" s="30" t="s">
        <v>120</v>
      </c>
      <c r="O34" s="30" t="s">
        <v>526</v>
      </c>
      <c r="P34" s="56" t="s">
        <v>318</v>
      </c>
      <c r="Q34" s="3"/>
      <c r="R34" s="32">
        <f>+Tabla1513[[#This Row],[VALOR INICIAL DEL CONTRATO CON IVA]]+Tabla1513[[#This Row],[VALOR DE LAS ADICIONES CON IVA]]</f>
        <v>1018833633</v>
      </c>
      <c r="S34" s="4">
        <v>1072</v>
      </c>
      <c r="T34" s="56" t="s">
        <v>318</v>
      </c>
      <c r="U34" s="58"/>
      <c r="V34" s="56" t="s">
        <v>318</v>
      </c>
      <c r="W34" s="60">
        <v>44950</v>
      </c>
      <c r="X34" s="61">
        <v>46022</v>
      </c>
      <c r="Y34" s="61">
        <v>46022</v>
      </c>
      <c r="Z34" s="55" t="s">
        <v>319</v>
      </c>
      <c r="AA34" s="60"/>
      <c r="AB34" s="56"/>
      <c r="AC34" s="56" t="s">
        <v>715</v>
      </c>
      <c r="AD34" s="34">
        <v>0.65949999999999998</v>
      </c>
      <c r="AE34" s="34">
        <v>0.42459999999999998</v>
      </c>
      <c r="AF34" s="35">
        <v>185196604</v>
      </c>
      <c r="AG34" s="90" t="s">
        <v>527</v>
      </c>
      <c r="AH34" s="63">
        <v>2023</v>
      </c>
    </row>
    <row r="35" spans="1:34" ht="29" x14ac:dyDescent="0.35">
      <c r="A35" s="55" t="s">
        <v>330</v>
      </c>
      <c r="B35" s="2" t="s">
        <v>410</v>
      </c>
      <c r="C35" s="30" t="s">
        <v>68</v>
      </c>
      <c r="D35" s="100" t="s">
        <v>412</v>
      </c>
      <c r="E35" s="97" t="s">
        <v>214</v>
      </c>
      <c r="F35" s="60">
        <v>44945</v>
      </c>
      <c r="G35" s="30" t="s">
        <v>150</v>
      </c>
      <c r="H35" s="94" t="s">
        <v>528</v>
      </c>
      <c r="I35" s="101">
        <v>1595938840</v>
      </c>
      <c r="J35" s="101">
        <v>303228380</v>
      </c>
      <c r="K35" s="3">
        <v>1899167220</v>
      </c>
      <c r="L35" s="76" t="s">
        <v>84</v>
      </c>
      <c r="M35" s="54">
        <v>901664317</v>
      </c>
      <c r="N35" s="30" t="s">
        <v>117</v>
      </c>
      <c r="O35" s="2" t="s">
        <v>529</v>
      </c>
      <c r="P35" s="56" t="s">
        <v>318</v>
      </c>
      <c r="Q35" s="3"/>
      <c r="R35" s="32">
        <f>+Tabla1513[[#This Row],[VALOR INICIAL DEL CONTRATO CON IVA]]+Tabla1513[[#This Row],[VALOR DE LAS ADICIONES CON IVA]]</f>
        <v>1899167220</v>
      </c>
      <c r="S35" s="4">
        <v>730</v>
      </c>
      <c r="T35" s="56" t="s">
        <v>317</v>
      </c>
      <c r="U35" s="58">
        <f>+Tabla1513[[#This Row],[FECHA FINAL DEL CONTRATO]]-Tabla1513[[#This Row],[FECHA TERMINACIÓN INICIAL CONTRATO]]</f>
        <v>393</v>
      </c>
      <c r="V35" s="56" t="s">
        <v>318</v>
      </c>
      <c r="W35" s="70">
        <v>44958</v>
      </c>
      <c r="X35" s="61">
        <v>45688</v>
      </c>
      <c r="Y35" s="61">
        <v>46081</v>
      </c>
      <c r="Z35" s="55" t="s">
        <v>319</v>
      </c>
      <c r="AA35" s="60"/>
      <c r="AB35" s="56"/>
      <c r="AC35" s="56" t="s">
        <v>420</v>
      </c>
      <c r="AD35" s="34">
        <v>0.62</v>
      </c>
      <c r="AE35" s="34">
        <v>0.6</v>
      </c>
      <c r="AF35" s="35">
        <v>951190988</v>
      </c>
      <c r="AG35" s="90" t="s">
        <v>530</v>
      </c>
      <c r="AH35" s="63">
        <v>2023</v>
      </c>
    </row>
    <row r="36" spans="1:34" ht="43.5" x14ac:dyDescent="0.35">
      <c r="A36" s="55" t="s">
        <v>330</v>
      </c>
      <c r="B36" s="2" t="s">
        <v>31</v>
      </c>
      <c r="C36" s="30" t="s">
        <v>531</v>
      </c>
      <c r="D36" s="30" t="s">
        <v>362</v>
      </c>
      <c r="E36" s="97" t="s">
        <v>219</v>
      </c>
      <c r="F36" s="60">
        <v>44945</v>
      </c>
      <c r="G36" s="30" t="s">
        <v>150</v>
      </c>
      <c r="H36" s="93" t="s">
        <v>532</v>
      </c>
      <c r="I36" s="101">
        <v>261076302.5210084</v>
      </c>
      <c r="J36" s="101">
        <v>49604497.478991598</v>
      </c>
      <c r="K36" s="3">
        <v>310680800</v>
      </c>
      <c r="L36" s="76" t="s">
        <v>84</v>
      </c>
      <c r="M36" s="54">
        <v>830014795</v>
      </c>
      <c r="N36" s="30" t="s">
        <v>123</v>
      </c>
      <c r="O36" s="30" t="s">
        <v>533</v>
      </c>
      <c r="P36" s="56" t="s">
        <v>317</v>
      </c>
      <c r="Q36" s="3">
        <v>190400000</v>
      </c>
      <c r="R36" s="32">
        <f>+Tabla1513[[#This Row],[VALOR INICIAL DEL CONTRATO CON IVA]]+Tabla1513[[#This Row],[VALOR DE LAS ADICIONES CON IVA]]</f>
        <v>501080800</v>
      </c>
      <c r="S36" s="4">
        <v>730</v>
      </c>
      <c r="T36" s="56" t="s">
        <v>317</v>
      </c>
      <c r="U36" s="58">
        <v>365</v>
      </c>
      <c r="V36" s="59" t="s">
        <v>318</v>
      </c>
      <c r="W36" s="60">
        <v>44945</v>
      </c>
      <c r="X36" s="61">
        <v>45675</v>
      </c>
      <c r="Y36" s="61">
        <v>46040</v>
      </c>
      <c r="Z36" s="55" t="s">
        <v>319</v>
      </c>
      <c r="AA36" s="60"/>
      <c r="AB36" s="56"/>
      <c r="AC36" s="56" t="s">
        <v>477</v>
      </c>
      <c r="AD36" s="34">
        <v>0.93</v>
      </c>
      <c r="AE36" s="34">
        <v>0.96</v>
      </c>
      <c r="AF36" s="35">
        <v>298770800</v>
      </c>
      <c r="AG36" s="90" t="s">
        <v>534</v>
      </c>
      <c r="AH36" s="63">
        <v>2023</v>
      </c>
    </row>
    <row r="37" spans="1:34" ht="43.5" x14ac:dyDescent="0.35">
      <c r="A37" s="55" t="s">
        <v>330</v>
      </c>
      <c r="B37" s="2" t="s">
        <v>31</v>
      </c>
      <c r="C37" s="30" t="s">
        <v>39</v>
      </c>
      <c r="D37" s="100" t="s">
        <v>313</v>
      </c>
      <c r="E37" s="97" t="s">
        <v>255</v>
      </c>
      <c r="F37" s="60">
        <v>44957</v>
      </c>
      <c r="G37" s="30" t="s">
        <v>150</v>
      </c>
      <c r="H37" s="93" t="s">
        <v>536</v>
      </c>
      <c r="I37" s="101">
        <v>18614293989</v>
      </c>
      <c r="J37" s="101">
        <v>3536715857.9099998</v>
      </c>
      <c r="K37" s="3">
        <v>22151009847</v>
      </c>
      <c r="L37" s="76" t="s">
        <v>84</v>
      </c>
      <c r="M37" s="54">
        <v>830047891</v>
      </c>
      <c r="N37" s="30" t="s">
        <v>91</v>
      </c>
      <c r="O37" s="30" t="s">
        <v>537</v>
      </c>
      <c r="P37" s="56" t="s">
        <v>318</v>
      </c>
      <c r="Q37" s="3"/>
      <c r="R37" s="32">
        <f>+Tabla1513[[#This Row],[VALOR INICIAL DEL CONTRATO CON IVA]]+Tabla1513[[#This Row],[VALOR DE LAS ADICIONES CON IVA]]</f>
        <v>22151009847</v>
      </c>
      <c r="S37" s="4">
        <v>1095</v>
      </c>
      <c r="T37" s="56" t="s">
        <v>318</v>
      </c>
      <c r="U37" s="58"/>
      <c r="V37" s="56" t="s">
        <v>318</v>
      </c>
      <c r="W37" s="60">
        <v>44958</v>
      </c>
      <c r="X37" s="61">
        <v>46053</v>
      </c>
      <c r="Y37" s="61">
        <v>46053</v>
      </c>
      <c r="Z37" s="55" t="s">
        <v>319</v>
      </c>
      <c r="AA37" s="60"/>
      <c r="AB37" s="56"/>
      <c r="AC37" s="56" t="s">
        <v>457</v>
      </c>
      <c r="AD37" s="34">
        <v>0.63890000000000002</v>
      </c>
      <c r="AE37" s="34">
        <v>0.57289999999999996</v>
      </c>
      <c r="AF37" s="35">
        <v>12689632904</v>
      </c>
      <c r="AG37" s="90" t="s">
        <v>538</v>
      </c>
      <c r="AH37" s="63">
        <v>2023</v>
      </c>
    </row>
    <row r="38" spans="1:34" s="1" customFormat="1" ht="43.5" x14ac:dyDescent="0.35">
      <c r="A38" s="103" t="s">
        <v>330</v>
      </c>
      <c r="B38" s="1" t="s">
        <v>11</v>
      </c>
      <c r="C38" s="30" t="s">
        <v>12</v>
      </c>
      <c r="D38" s="100" t="s">
        <v>412</v>
      </c>
      <c r="E38" s="104" t="s">
        <v>541</v>
      </c>
      <c r="F38" s="105">
        <v>44974</v>
      </c>
      <c r="G38" s="30" t="s">
        <v>113</v>
      </c>
      <c r="H38" s="93" t="s">
        <v>542</v>
      </c>
      <c r="I38" s="106">
        <v>2584847406</v>
      </c>
      <c r="J38" s="106">
        <v>44647365</v>
      </c>
      <c r="K38" s="39">
        <v>2629494771</v>
      </c>
      <c r="L38" s="76" t="s">
        <v>84</v>
      </c>
      <c r="M38" s="67">
        <v>800219876</v>
      </c>
      <c r="N38" s="37" t="s">
        <v>123</v>
      </c>
      <c r="O38" s="2" t="s">
        <v>543</v>
      </c>
      <c r="P38" s="107" t="s">
        <v>317</v>
      </c>
      <c r="Q38" s="39">
        <v>1524171276</v>
      </c>
      <c r="R38" s="32">
        <f>+Tabla1513[[#This Row],[VALOR INICIAL DEL CONTRATO CON IVA]]+Tabla1513[[#This Row],[VALOR DE LAS ADICIONES CON IVA]]</f>
        <v>4153666047</v>
      </c>
      <c r="S38" s="40">
        <v>731</v>
      </c>
      <c r="T38" s="107" t="s">
        <v>317</v>
      </c>
      <c r="U38" s="109">
        <f>+Tabla1513[[#This Row],[FECHA FINAL DEL CONTRATO]]-Tabla1513[[#This Row],[FECHA TERMINACIÓN INICIAL CONTRATO]]</f>
        <v>317</v>
      </c>
      <c r="V38" s="56" t="s">
        <v>318</v>
      </c>
      <c r="W38" s="105">
        <v>44974</v>
      </c>
      <c r="X38" s="108">
        <v>45705</v>
      </c>
      <c r="Y38" s="108">
        <v>46022</v>
      </c>
      <c r="Z38" s="103" t="s">
        <v>319</v>
      </c>
      <c r="AA38" s="105"/>
      <c r="AB38" s="56"/>
      <c r="AC38" s="56" t="s">
        <v>544</v>
      </c>
      <c r="AD38" s="27">
        <v>0.65080000000000005</v>
      </c>
      <c r="AE38" s="27">
        <v>0.59740000000000004</v>
      </c>
      <c r="AF38" s="41">
        <v>2481399041</v>
      </c>
      <c r="AG38" s="90" t="s">
        <v>545</v>
      </c>
      <c r="AH38" s="68">
        <v>2023</v>
      </c>
    </row>
    <row r="39" spans="1:34" ht="58" x14ac:dyDescent="0.35">
      <c r="A39" s="55" t="s">
        <v>330</v>
      </c>
      <c r="B39" s="2" t="s">
        <v>11</v>
      </c>
      <c r="C39" s="30" t="s">
        <v>331</v>
      </c>
      <c r="D39" s="100" t="s">
        <v>412</v>
      </c>
      <c r="E39" s="97" t="s">
        <v>548</v>
      </c>
      <c r="F39" s="60">
        <v>44988</v>
      </c>
      <c r="G39" s="30" t="s">
        <v>549</v>
      </c>
      <c r="H39" s="93" t="s">
        <v>550</v>
      </c>
      <c r="I39" s="64">
        <v>31239345889</v>
      </c>
      <c r="J39" s="101">
        <v>5935475719</v>
      </c>
      <c r="K39" s="33">
        <v>37174821608</v>
      </c>
      <c r="L39" s="76" t="s">
        <v>84</v>
      </c>
      <c r="M39" s="54">
        <v>901695387</v>
      </c>
      <c r="N39" s="30" t="s">
        <v>111</v>
      </c>
      <c r="O39" s="30" t="s">
        <v>551</v>
      </c>
      <c r="P39" s="56" t="s">
        <v>318</v>
      </c>
      <c r="Q39" s="3"/>
      <c r="R39" s="32">
        <f>+Tabla1513[[#This Row],[VALOR INICIAL DEL CONTRATO CON IVA]]+Tabla1513[[#This Row],[VALOR DE LAS ADICIONES CON IVA]]</f>
        <v>37174821608</v>
      </c>
      <c r="S39" s="4">
        <v>1096</v>
      </c>
      <c r="T39" s="56" t="s">
        <v>318</v>
      </c>
      <c r="U39" s="58"/>
      <c r="V39" s="56" t="s">
        <v>318</v>
      </c>
      <c r="W39" s="60">
        <v>45016</v>
      </c>
      <c r="X39" s="61">
        <v>46112</v>
      </c>
      <c r="Y39" s="61">
        <v>46112</v>
      </c>
      <c r="Z39" s="55" t="s">
        <v>319</v>
      </c>
      <c r="AA39" s="60"/>
      <c r="AB39" s="56"/>
      <c r="AC39" s="56" t="s">
        <v>1250</v>
      </c>
      <c r="AD39" s="34">
        <v>0.61</v>
      </c>
      <c r="AE39" s="34">
        <v>0.45</v>
      </c>
      <c r="AF39" s="35">
        <v>16556399035</v>
      </c>
      <c r="AG39" s="90" t="s">
        <v>552</v>
      </c>
      <c r="AH39" s="63">
        <v>2023</v>
      </c>
    </row>
    <row r="40" spans="1:34" ht="58" x14ac:dyDescent="0.35">
      <c r="A40" s="55" t="s">
        <v>330</v>
      </c>
      <c r="B40" s="2" t="s">
        <v>31</v>
      </c>
      <c r="C40" s="30" t="s">
        <v>36</v>
      </c>
      <c r="D40" s="100" t="s">
        <v>412</v>
      </c>
      <c r="E40" s="97" t="s">
        <v>555</v>
      </c>
      <c r="F40" s="60">
        <v>45041</v>
      </c>
      <c r="G40" s="30" t="s">
        <v>150</v>
      </c>
      <c r="H40" s="93" t="s">
        <v>556</v>
      </c>
      <c r="I40" s="101">
        <v>1223623944</v>
      </c>
      <c r="J40" s="101">
        <v>232488550</v>
      </c>
      <c r="K40" s="3">
        <v>1456112494</v>
      </c>
      <c r="L40" s="76" t="s">
        <v>84</v>
      </c>
      <c r="M40" s="54">
        <v>800210453</v>
      </c>
      <c r="N40" s="30" t="s">
        <v>114</v>
      </c>
      <c r="O40" s="30" t="s">
        <v>511</v>
      </c>
      <c r="P40" s="56" t="s">
        <v>318</v>
      </c>
      <c r="Q40" s="3"/>
      <c r="R40" s="32">
        <f>+Tabla1513[[#This Row],[VALOR INICIAL DEL CONTRATO CON IVA]]+Tabla1513[[#This Row],[VALOR DE LAS ADICIONES CON IVA]]</f>
        <v>1456112494</v>
      </c>
      <c r="S40" s="4">
        <v>1095</v>
      </c>
      <c r="T40" s="56" t="s">
        <v>318</v>
      </c>
      <c r="U40" s="58"/>
      <c r="V40" s="56" t="s">
        <v>318</v>
      </c>
      <c r="W40" s="60">
        <v>45061</v>
      </c>
      <c r="X40" s="61">
        <v>46156</v>
      </c>
      <c r="Y40" s="61">
        <v>46156</v>
      </c>
      <c r="Z40" s="55" t="s">
        <v>319</v>
      </c>
      <c r="AA40" s="60"/>
      <c r="AB40" s="56"/>
      <c r="AC40" s="56" t="s">
        <v>1092</v>
      </c>
      <c r="AD40" s="34">
        <v>0.52800000000000002</v>
      </c>
      <c r="AE40" s="34">
        <v>0.52800000000000002</v>
      </c>
      <c r="AF40" s="35">
        <v>768503816.09000003</v>
      </c>
      <c r="AG40" s="90" t="s">
        <v>557</v>
      </c>
      <c r="AH40" s="63">
        <v>2023</v>
      </c>
    </row>
    <row r="41" spans="1:34" ht="43.5" x14ac:dyDescent="0.35">
      <c r="A41" s="55" t="s">
        <v>330</v>
      </c>
      <c r="B41" s="2" t="s">
        <v>440</v>
      </c>
      <c r="C41" s="30" t="s">
        <v>51</v>
      </c>
      <c r="D41" s="100" t="s">
        <v>313</v>
      </c>
      <c r="E41" s="97" t="s">
        <v>561</v>
      </c>
      <c r="F41" s="60">
        <v>45057</v>
      </c>
      <c r="G41" s="30" t="s">
        <v>150</v>
      </c>
      <c r="H41" s="93" t="s">
        <v>562</v>
      </c>
      <c r="I41" s="64">
        <v>48739495.798319332</v>
      </c>
      <c r="J41" s="101">
        <v>9260504.2016806733</v>
      </c>
      <c r="K41" s="33">
        <v>58000000.000000007</v>
      </c>
      <c r="L41" s="76" t="s">
        <v>84</v>
      </c>
      <c r="M41" s="54">
        <v>901212388</v>
      </c>
      <c r="N41" s="30" t="s">
        <v>85</v>
      </c>
      <c r="O41" s="30" t="s">
        <v>563</v>
      </c>
      <c r="P41" s="56" t="s">
        <v>318</v>
      </c>
      <c r="Q41" s="3"/>
      <c r="R41" s="32">
        <f>+Tabla1513[[#This Row],[VALOR INICIAL DEL CONTRATO CON IVA]]+Tabla1513[[#This Row],[VALOR DE LAS ADICIONES CON IVA]]</f>
        <v>58000000.000000007</v>
      </c>
      <c r="S41" s="4">
        <v>1096</v>
      </c>
      <c r="T41" s="56" t="s">
        <v>318</v>
      </c>
      <c r="U41" s="58"/>
      <c r="V41" s="56" t="s">
        <v>318</v>
      </c>
      <c r="W41" s="60">
        <v>45057</v>
      </c>
      <c r="X41" s="61">
        <v>46153</v>
      </c>
      <c r="Y41" s="61">
        <v>46153</v>
      </c>
      <c r="Z41" s="55" t="s">
        <v>319</v>
      </c>
      <c r="AA41" s="60"/>
      <c r="AB41" s="56"/>
      <c r="AC41" s="56" t="s">
        <v>312</v>
      </c>
      <c r="AD41" s="34">
        <v>0.54744525547445255</v>
      </c>
      <c r="AE41" s="34">
        <v>0.46040689655172412</v>
      </c>
      <c r="AF41" s="35">
        <v>26703600</v>
      </c>
      <c r="AG41" s="90" t="s">
        <v>564</v>
      </c>
      <c r="AH41" s="63">
        <v>2023</v>
      </c>
    </row>
    <row r="42" spans="1:34" ht="58" x14ac:dyDescent="0.35">
      <c r="A42" s="55" t="s">
        <v>330</v>
      </c>
      <c r="B42" s="2" t="s">
        <v>440</v>
      </c>
      <c r="C42" s="30" t="s">
        <v>52</v>
      </c>
      <c r="D42" s="100" t="s">
        <v>313</v>
      </c>
      <c r="E42" s="97" t="s">
        <v>568</v>
      </c>
      <c r="F42" s="60">
        <v>45090</v>
      </c>
      <c r="G42" s="30" t="s">
        <v>150</v>
      </c>
      <c r="H42" s="93" t="s">
        <v>569</v>
      </c>
      <c r="I42" s="101">
        <v>252100840.33613446</v>
      </c>
      <c r="J42" s="101">
        <v>47899159.663865536</v>
      </c>
      <c r="K42" s="3">
        <v>300000000</v>
      </c>
      <c r="L42" s="76" t="s">
        <v>84</v>
      </c>
      <c r="M42" s="54">
        <v>900114521</v>
      </c>
      <c r="N42" s="30" t="s">
        <v>85</v>
      </c>
      <c r="O42" s="30" t="s">
        <v>570</v>
      </c>
      <c r="P42" s="56" t="s">
        <v>318</v>
      </c>
      <c r="Q42" s="3"/>
      <c r="R42" s="32">
        <f>+Tabla1513[[#This Row],[VALOR INICIAL DEL CONTRATO CON IVA]]+Tabla1513[[#This Row],[VALOR DE LAS ADICIONES CON IVA]]</f>
        <v>300000000</v>
      </c>
      <c r="S42" s="4">
        <v>1095</v>
      </c>
      <c r="T42" s="56" t="s">
        <v>318</v>
      </c>
      <c r="U42" s="58"/>
      <c r="V42" s="56" t="s">
        <v>318</v>
      </c>
      <c r="W42" s="60">
        <v>45125</v>
      </c>
      <c r="X42" s="61">
        <v>46220</v>
      </c>
      <c r="Y42" s="61">
        <v>46220</v>
      </c>
      <c r="Z42" s="55" t="s">
        <v>319</v>
      </c>
      <c r="AA42" s="60"/>
      <c r="AB42" s="56"/>
      <c r="AC42" s="56" t="s">
        <v>312</v>
      </c>
      <c r="AD42" s="34">
        <v>0.49</v>
      </c>
      <c r="AE42" s="34">
        <v>0</v>
      </c>
      <c r="AF42" s="35">
        <v>5105000</v>
      </c>
      <c r="AG42" s="90" t="s">
        <v>571</v>
      </c>
      <c r="AH42" s="63">
        <v>2023</v>
      </c>
    </row>
    <row r="43" spans="1:34" ht="58" x14ac:dyDescent="0.35">
      <c r="A43" s="55" t="s">
        <v>330</v>
      </c>
      <c r="B43" s="2" t="s">
        <v>31</v>
      </c>
      <c r="C43" s="30" t="s">
        <v>34</v>
      </c>
      <c r="D43" s="100" t="s">
        <v>412</v>
      </c>
      <c r="E43" s="97" t="s">
        <v>575</v>
      </c>
      <c r="F43" s="70">
        <v>45131</v>
      </c>
      <c r="G43" s="30" t="s">
        <v>150</v>
      </c>
      <c r="H43" s="94" t="s">
        <v>576</v>
      </c>
      <c r="I43" s="111">
        <v>7309485285</v>
      </c>
      <c r="J43" s="111">
        <v>1388802200</v>
      </c>
      <c r="K43" s="47">
        <v>8698287485</v>
      </c>
      <c r="L43" s="77" t="s">
        <v>84</v>
      </c>
      <c r="M43" s="54">
        <v>800167494</v>
      </c>
      <c r="N43" s="30" t="s">
        <v>108</v>
      </c>
      <c r="O43" s="2" t="s">
        <v>577</v>
      </c>
      <c r="P43" s="56" t="s">
        <v>317</v>
      </c>
      <c r="Q43" s="3">
        <v>5421089516</v>
      </c>
      <c r="R43" s="32">
        <f>+Tabla1513[[#This Row],[VALOR INICIAL DEL CONTRATO CON IVA]]+Tabla1513[[#This Row],[VALOR DE LAS ADICIONES CON IVA]]</f>
        <v>14119377001</v>
      </c>
      <c r="S43" s="48">
        <v>1096</v>
      </c>
      <c r="T43" s="56" t="s">
        <v>318</v>
      </c>
      <c r="U43" s="58"/>
      <c r="V43" s="56" t="s">
        <v>318</v>
      </c>
      <c r="W43" s="70">
        <v>45131</v>
      </c>
      <c r="X43" s="70">
        <v>46227</v>
      </c>
      <c r="Y43" s="71">
        <v>46227</v>
      </c>
      <c r="Z43" s="72" t="s">
        <v>319</v>
      </c>
      <c r="AA43" s="60"/>
      <c r="AB43" s="56"/>
      <c r="AC43" s="56" t="s">
        <v>1244</v>
      </c>
      <c r="AD43" s="34">
        <v>0</v>
      </c>
      <c r="AE43" s="34">
        <v>0</v>
      </c>
      <c r="AF43" s="35">
        <v>0</v>
      </c>
      <c r="AG43" s="90" t="s">
        <v>578</v>
      </c>
      <c r="AH43" s="63">
        <v>2023</v>
      </c>
    </row>
    <row r="44" spans="1:34" ht="43.5" x14ac:dyDescent="0.35">
      <c r="A44" s="55" t="s">
        <v>330</v>
      </c>
      <c r="B44" s="2" t="s">
        <v>31</v>
      </c>
      <c r="C44" s="30" t="s">
        <v>36</v>
      </c>
      <c r="D44" s="30" t="s">
        <v>362</v>
      </c>
      <c r="E44" s="97" t="s">
        <v>581</v>
      </c>
      <c r="F44" s="70">
        <v>45134</v>
      </c>
      <c r="G44" s="30" t="s">
        <v>150</v>
      </c>
      <c r="H44" s="94" t="s">
        <v>582</v>
      </c>
      <c r="I44" s="101">
        <v>269872939.49579835</v>
      </c>
      <c r="J44" s="101">
        <v>51275858.504201688</v>
      </c>
      <c r="K44" s="47">
        <v>321148798</v>
      </c>
      <c r="L44" s="77" t="s">
        <v>84</v>
      </c>
      <c r="M44" s="54">
        <v>900335814</v>
      </c>
      <c r="N44" s="30" t="s">
        <v>91</v>
      </c>
      <c r="O44" s="2" t="s">
        <v>430</v>
      </c>
      <c r="P44" s="56" t="s">
        <v>318</v>
      </c>
      <c r="Q44" s="3"/>
      <c r="R44" s="32">
        <f>+Tabla1513[[#This Row],[VALOR INICIAL DEL CONTRATO CON IVA]]+Tabla1513[[#This Row],[VALOR DE LAS ADICIONES CON IVA]]</f>
        <v>321148798</v>
      </c>
      <c r="S44" s="48">
        <v>1096</v>
      </c>
      <c r="T44" s="56" t="s">
        <v>318</v>
      </c>
      <c r="U44" s="58"/>
      <c r="V44" s="56" t="s">
        <v>318</v>
      </c>
      <c r="W44" s="70">
        <v>45134</v>
      </c>
      <c r="X44" s="70">
        <v>46230</v>
      </c>
      <c r="Y44" s="71">
        <v>46230</v>
      </c>
      <c r="Z44" s="72" t="s">
        <v>319</v>
      </c>
      <c r="AA44" s="60"/>
      <c r="AB44" s="56"/>
      <c r="AC44" s="56" t="s">
        <v>583</v>
      </c>
      <c r="AD44" s="34">
        <v>0.42</v>
      </c>
      <c r="AE44" s="34">
        <v>1</v>
      </c>
      <c r="AF44" s="35">
        <v>321148798</v>
      </c>
      <c r="AG44" s="90" t="s">
        <v>584</v>
      </c>
      <c r="AH44" s="63">
        <v>2023</v>
      </c>
    </row>
    <row r="45" spans="1:34" ht="43.5" x14ac:dyDescent="0.35">
      <c r="A45" s="55" t="s">
        <v>330</v>
      </c>
      <c r="B45" s="2" t="s">
        <v>440</v>
      </c>
      <c r="C45" s="30" t="s">
        <v>51</v>
      </c>
      <c r="D45" s="100" t="s">
        <v>313</v>
      </c>
      <c r="E45" s="97" t="s">
        <v>585</v>
      </c>
      <c r="F45" s="70">
        <v>45138</v>
      </c>
      <c r="G45" s="30" t="s">
        <v>150</v>
      </c>
      <c r="H45" s="94" t="s">
        <v>586</v>
      </c>
      <c r="I45" s="112">
        <v>42016806.722689077</v>
      </c>
      <c r="J45" s="111">
        <v>7983193.2773109246</v>
      </c>
      <c r="K45" s="33">
        <v>50000000</v>
      </c>
      <c r="L45" s="77" t="s">
        <v>84</v>
      </c>
      <c r="M45" s="54">
        <v>901086699</v>
      </c>
      <c r="N45" s="30" t="s">
        <v>111</v>
      </c>
      <c r="O45" s="2" t="s">
        <v>587</v>
      </c>
      <c r="P45" s="56" t="s">
        <v>318</v>
      </c>
      <c r="Q45" s="3"/>
      <c r="R45" s="32">
        <f>+Tabla1513[[#This Row],[VALOR INICIAL DEL CONTRATO CON IVA]]+Tabla1513[[#This Row],[VALOR DE LAS ADICIONES CON IVA]]</f>
        <v>50000000</v>
      </c>
      <c r="S45" s="48">
        <v>365</v>
      </c>
      <c r="T45" s="56" t="s">
        <v>317</v>
      </c>
      <c r="U45" s="58">
        <f>+Tabla1513[[#This Row],[FECHA FINAL DEL CONTRATO]]-Tabla1513[[#This Row],[FECHA TERMINACIÓN INICIAL CONTRATO]]</f>
        <v>730</v>
      </c>
      <c r="V45" s="56" t="s">
        <v>318</v>
      </c>
      <c r="W45" s="70">
        <v>45138</v>
      </c>
      <c r="X45" s="70">
        <v>45503</v>
      </c>
      <c r="Y45" s="71">
        <v>46233</v>
      </c>
      <c r="Z45" s="72" t="s">
        <v>319</v>
      </c>
      <c r="AA45" s="60"/>
      <c r="AB45" s="60"/>
      <c r="AC45" s="56" t="s">
        <v>312</v>
      </c>
      <c r="AD45" s="34">
        <v>0.71095890410958906</v>
      </c>
      <c r="AE45" s="34">
        <v>8.9884749999999999E-2</v>
      </c>
      <c r="AF45" s="35">
        <v>4494237.5</v>
      </c>
      <c r="AG45" s="90" t="s">
        <v>588</v>
      </c>
      <c r="AH45" s="63">
        <v>2023</v>
      </c>
    </row>
    <row r="46" spans="1:34" ht="43.5" x14ac:dyDescent="0.35">
      <c r="A46" s="55" t="s">
        <v>330</v>
      </c>
      <c r="B46" s="2" t="s">
        <v>440</v>
      </c>
      <c r="C46" s="30" t="s">
        <v>51</v>
      </c>
      <c r="D46" s="100" t="s">
        <v>313</v>
      </c>
      <c r="E46" s="97" t="s">
        <v>589</v>
      </c>
      <c r="F46" s="70">
        <v>45135</v>
      </c>
      <c r="G46" s="30" t="s">
        <v>150</v>
      </c>
      <c r="H46" s="94" t="s">
        <v>1366</v>
      </c>
      <c r="I46" s="112">
        <v>640543200</v>
      </c>
      <c r="J46" s="111">
        <v>121703208</v>
      </c>
      <c r="K46" s="33">
        <v>762246408</v>
      </c>
      <c r="L46" s="77" t="s">
        <v>84</v>
      </c>
      <c r="M46" s="54">
        <v>900631435</v>
      </c>
      <c r="N46" s="30" t="s">
        <v>97</v>
      </c>
      <c r="O46" s="2" t="s">
        <v>590</v>
      </c>
      <c r="P46" s="56" t="s">
        <v>317</v>
      </c>
      <c r="Q46" s="3">
        <v>130294528</v>
      </c>
      <c r="R46" s="32">
        <f>+Tabla1513[[#This Row],[VALOR INICIAL DEL CONTRATO CON IVA]]+Tabla1513[[#This Row],[VALOR DE LAS ADICIONES CON IVA]]</f>
        <v>892540936</v>
      </c>
      <c r="S46" s="48">
        <v>731</v>
      </c>
      <c r="T46" s="56" t="s">
        <v>317</v>
      </c>
      <c r="U46" s="58">
        <f>+Tabla1513[[#This Row],[FECHA FINAL DEL CONTRATO]]-Tabla1513[[#This Row],[FECHA TERMINACIÓN INICIAL CONTRATO]]</f>
        <v>123</v>
      </c>
      <c r="V46" s="56" t="s">
        <v>318</v>
      </c>
      <c r="W46" s="70">
        <v>45135</v>
      </c>
      <c r="X46" s="70">
        <v>45865</v>
      </c>
      <c r="Y46" s="70">
        <v>45988</v>
      </c>
      <c r="Z46" s="72" t="s">
        <v>319</v>
      </c>
      <c r="AA46" s="60"/>
      <c r="AB46" s="56"/>
      <c r="AC46" s="56" t="s">
        <v>441</v>
      </c>
      <c r="AD46" s="34">
        <v>0.71509999999999996</v>
      </c>
      <c r="AE46" s="34">
        <v>0.53549999999999998</v>
      </c>
      <c r="AF46" s="35">
        <v>408188959</v>
      </c>
      <c r="AG46" s="90" t="s">
        <v>591</v>
      </c>
      <c r="AH46" s="63">
        <v>2023</v>
      </c>
    </row>
    <row r="47" spans="1:34" ht="29" x14ac:dyDescent="0.35">
      <c r="A47" s="55" t="s">
        <v>330</v>
      </c>
      <c r="B47" s="2" t="s">
        <v>410</v>
      </c>
      <c r="C47" s="30" t="s">
        <v>71</v>
      </c>
      <c r="D47" s="100" t="s">
        <v>313</v>
      </c>
      <c r="E47" s="97" t="s">
        <v>593</v>
      </c>
      <c r="F47" s="70">
        <v>45141</v>
      </c>
      <c r="G47" s="30" t="s">
        <v>150</v>
      </c>
      <c r="H47" s="94" t="s">
        <v>594</v>
      </c>
      <c r="I47" s="101">
        <v>11148870168</v>
      </c>
      <c r="J47" s="101">
        <v>2118285332</v>
      </c>
      <c r="K47" s="47">
        <v>13267155500</v>
      </c>
      <c r="L47" s="77" t="s">
        <v>84</v>
      </c>
      <c r="M47" s="54">
        <v>900032159</v>
      </c>
      <c r="N47" s="30" t="s">
        <v>108</v>
      </c>
      <c r="O47" s="2" t="s">
        <v>456</v>
      </c>
      <c r="P47" s="56" t="s">
        <v>318</v>
      </c>
      <c r="Q47" s="3"/>
      <c r="R47" s="32">
        <f>+Tabla1513[[#This Row],[VALOR INICIAL DEL CONTRATO CON IVA]]+Tabla1513[[#This Row],[VALOR DE LAS ADICIONES CON IVA]]</f>
        <v>13267155500</v>
      </c>
      <c r="S47" s="48">
        <v>1096</v>
      </c>
      <c r="T47" s="56" t="s">
        <v>318</v>
      </c>
      <c r="U47" s="58"/>
      <c r="V47" s="56" t="s">
        <v>318</v>
      </c>
      <c r="W47" s="70">
        <v>45142</v>
      </c>
      <c r="X47" s="70">
        <v>46238</v>
      </c>
      <c r="Y47" s="71">
        <v>46238</v>
      </c>
      <c r="Z47" s="72" t="s">
        <v>319</v>
      </c>
      <c r="AA47" s="60"/>
      <c r="AB47" s="56"/>
      <c r="AC47" s="56" t="s">
        <v>420</v>
      </c>
      <c r="AD47" s="34">
        <v>0.44440000000000002</v>
      </c>
      <c r="AE47" s="34">
        <v>0.48599999999999999</v>
      </c>
      <c r="AF47" s="35">
        <v>6447260578</v>
      </c>
      <c r="AG47" s="90" t="s">
        <v>592</v>
      </c>
      <c r="AH47" s="63">
        <v>2023</v>
      </c>
    </row>
    <row r="48" spans="1:34" ht="43.5" x14ac:dyDescent="0.35">
      <c r="A48" s="55" t="s">
        <v>330</v>
      </c>
      <c r="B48" s="2" t="s">
        <v>8</v>
      </c>
      <c r="C48" s="30" t="s">
        <v>36</v>
      </c>
      <c r="D48" s="100" t="s">
        <v>313</v>
      </c>
      <c r="E48" s="97" t="s">
        <v>596</v>
      </c>
      <c r="F48" s="70">
        <v>45175</v>
      </c>
      <c r="G48" s="30" t="s">
        <v>150</v>
      </c>
      <c r="H48" s="94" t="s">
        <v>597</v>
      </c>
      <c r="I48" s="101">
        <v>23700000</v>
      </c>
      <c r="J48" s="101">
        <v>4503000</v>
      </c>
      <c r="K48" s="47">
        <v>28203000</v>
      </c>
      <c r="L48" s="77" t="s">
        <v>84</v>
      </c>
      <c r="M48" s="54">
        <v>830045792</v>
      </c>
      <c r="N48" s="30" t="s">
        <v>91</v>
      </c>
      <c r="O48" s="2" t="s">
        <v>598</v>
      </c>
      <c r="P48" s="56" t="s">
        <v>318</v>
      </c>
      <c r="Q48" s="3"/>
      <c r="R48" s="32">
        <f>+Tabla1513[[#This Row],[VALOR INICIAL DEL CONTRATO CON IVA]]+Tabla1513[[#This Row],[VALOR DE LAS ADICIONES CON IVA]]</f>
        <v>28203000</v>
      </c>
      <c r="S48" s="48">
        <v>1095</v>
      </c>
      <c r="T48" s="56" t="s">
        <v>318</v>
      </c>
      <c r="U48" s="58"/>
      <c r="V48" s="56" t="s">
        <v>318</v>
      </c>
      <c r="W48" s="70">
        <v>45197</v>
      </c>
      <c r="X48" s="70">
        <v>46292</v>
      </c>
      <c r="Y48" s="71">
        <v>46292</v>
      </c>
      <c r="Z48" s="72" t="s">
        <v>319</v>
      </c>
      <c r="AA48" s="60"/>
      <c r="AB48" s="56"/>
      <c r="AC48" s="56" t="s">
        <v>1253</v>
      </c>
      <c r="AD48" s="34">
        <v>1</v>
      </c>
      <c r="AE48" s="34">
        <v>0.42</v>
      </c>
      <c r="AF48" s="35">
        <v>28203000</v>
      </c>
      <c r="AG48" s="90" t="s">
        <v>599</v>
      </c>
      <c r="AH48" s="63">
        <v>2023</v>
      </c>
    </row>
    <row r="49" spans="1:34" ht="58" x14ac:dyDescent="0.35">
      <c r="A49" s="55" t="s">
        <v>330</v>
      </c>
      <c r="B49" s="2" t="s">
        <v>440</v>
      </c>
      <c r="C49" s="30" t="s">
        <v>52</v>
      </c>
      <c r="D49" s="30" t="s">
        <v>313</v>
      </c>
      <c r="E49" s="97" t="s">
        <v>600</v>
      </c>
      <c r="F49" s="70">
        <v>45194</v>
      </c>
      <c r="G49" s="30" t="s">
        <v>150</v>
      </c>
      <c r="H49" s="94" t="s">
        <v>601</v>
      </c>
      <c r="I49" s="101">
        <v>126050420.16806723</v>
      </c>
      <c r="J49" s="101">
        <v>23949579.831932768</v>
      </c>
      <c r="K49" s="47">
        <v>150000000</v>
      </c>
      <c r="L49" s="77" t="s">
        <v>84</v>
      </c>
      <c r="M49" s="54">
        <v>900133128</v>
      </c>
      <c r="N49" s="30" t="s">
        <v>91</v>
      </c>
      <c r="O49" s="2" t="s">
        <v>602</v>
      </c>
      <c r="P49" s="56" t="s">
        <v>318</v>
      </c>
      <c r="Q49" s="3"/>
      <c r="R49" s="32">
        <f>+Tabla1513[[#This Row],[VALOR INICIAL DEL CONTRATO CON IVA]]+Tabla1513[[#This Row],[VALOR DE LAS ADICIONES CON IVA]]</f>
        <v>150000000</v>
      </c>
      <c r="S49" s="48">
        <v>365</v>
      </c>
      <c r="T49" s="56" t="s">
        <v>317</v>
      </c>
      <c r="U49" s="58">
        <f>+Tabla1513[[#This Row],[FECHA FINAL DEL CONTRATO]]-Tabla1513[[#This Row],[FECHA TERMINACIÓN INICIAL CONTRATO]]</f>
        <v>365</v>
      </c>
      <c r="V49" s="59" t="s">
        <v>318</v>
      </c>
      <c r="W49" s="70">
        <v>45226</v>
      </c>
      <c r="X49" s="70">
        <v>45591</v>
      </c>
      <c r="Y49" s="71">
        <v>45956</v>
      </c>
      <c r="Z49" s="72" t="s">
        <v>319</v>
      </c>
      <c r="AA49" s="60"/>
      <c r="AB49" s="56"/>
      <c r="AC49" s="56" t="s">
        <v>312</v>
      </c>
      <c r="AD49" s="34">
        <v>0.59</v>
      </c>
      <c r="AE49" s="34">
        <v>0</v>
      </c>
      <c r="AF49" s="35">
        <v>30164011.199999999</v>
      </c>
      <c r="AG49" s="90" t="s">
        <v>603</v>
      </c>
      <c r="AH49" s="63">
        <v>2023</v>
      </c>
    </row>
    <row r="50" spans="1:34" ht="58" x14ac:dyDescent="0.35">
      <c r="A50" s="55" t="s">
        <v>330</v>
      </c>
      <c r="B50" s="2" t="s">
        <v>440</v>
      </c>
      <c r="C50" s="30" t="s">
        <v>52</v>
      </c>
      <c r="D50" s="30" t="s">
        <v>313</v>
      </c>
      <c r="E50" s="97" t="s">
        <v>604</v>
      </c>
      <c r="F50" s="70">
        <v>45195</v>
      </c>
      <c r="G50" s="30" t="s">
        <v>150</v>
      </c>
      <c r="H50" s="94" t="s">
        <v>601</v>
      </c>
      <c r="I50" s="101">
        <v>168067226.89075631</v>
      </c>
      <c r="J50" s="101">
        <v>31932773.109243691</v>
      </c>
      <c r="K50" s="47">
        <v>200000000</v>
      </c>
      <c r="L50" s="77" t="s">
        <v>84</v>
      </c>
      <c r="M50" s="54">
        <v>830512240</v>
      </c>
      <c r="N50" s="30" t="s">
        <v>91</v>
      </c>
      <c r="O50" s="2" t="s">
        <v>605</v>
      </c>
      <c r="P50" s="56" t="s">
        <v>318</v>
      </c>
      <c r="Q50" s="3"/>
      <c r="R50" s="32">
        <f>+Tabla1513[[#This Row],[VALOR INICIAL DEL CONTRATO CON IVA]]+Tabla1513[[#This Row],[VALOR DE LAS ADICIONES CON IVA]]</f>
        <v>200000000</v>
      </c>
      <c r="S50" s="48">
        <v>365</v>
      </c>
      <c r="T50" s="56" t="s">
        <v>317</v>
      </c>
      <c r="U50" s="58">
        <f>+Tabla1513[[#This Row],[FECHA FINAL DEL CONTRATO]]-Tabla1513[[#This Row],[FECHA TERMINACIÓN INICIAL CONTRATO]]</f>
        <v>365</v>
      </c>
      <c r="V50" s="59" t="s">
        <v>318</v>
      </c>
      <c r="W50" s="70">
        <v>45232</v>
      </c>
      <c r="X50" s="70">
        <v>45597</v>
      </c>
      <c r="Y50" s="71">
        <v>45962</v>
      </c>
      <c r="Z50" s="72" t="s">
        <v>319</v>
      </c>
      <c r="AA50" s="60"/>
      <c r="AB50" s="56"/>
      <c r="AC50" s="56" t="s">
        <v>312</v>
      </c>
      <c r="AD50" s="34">
        <v>0.57999999999999996</v>
      </c>
      <c r="AE50" s="34">
        <v>0</v>
      </c>
      <c r="AF50" s="35">
        <v>28060000</v>
      </c>
      <c r="AG50" s="90" t="s">
        <v>606</v>
      </c>
      <c r="AH50" s="63">
        <v>2023</v>
      </c>
    </row>
    <row r="51" spans="1:34" ht="58" x14ac:dyDescent="0.35">
      <c r="A51" s="55" t="s">
        <v>330</v>
      </c>
      <c r="B51" s="2" t="s">
        <v>440</v>
      </c>
      <c r="C51" s="30" t="s">
        <v>52</v>
      </c>
      <c r="D51" s="30" t="s">
        <v>313</v>
      </c>
      <c r="E51" s="97" t="s">
        <v>608</v>
      </c>
      <c r="F51" s="70">
        <v>45181</v>
      </c>
      <c r="G51" s="30" t="s">
        <v>150</v>
      </c>
      <c r="H51" s="94" t="s">
        <v>601</v>
      </c>
      <c r="I51" s="101">
        <v>168067226.89075631</v>
      </c>
      <c r="J51" s="101">
        <v>31932773.109243691</v>
      </c>
      <c r="K51" s="47">
        <v>200000000</v>
      </c>
      <c r="L51" s="77" t="s">
        <v>84</v>
      </c>
      <c r="M51" s="54">
        <v>830050499</v>
      </c>
      <c r="N51" s="30" t="s">
        <v>114</v>
      </c>
      <c r="O51" s="2" t="s">
        <v>609</v>
      </c>
      <c r="P51" s="56" t="s">
        <v>318</v>
      </c>
      <c r="Q51" s="3"/>
      <c r="R51" s="32">
        <f>+Tabla1513[[#This Row],[VALOR INICIAL DEL CONTRATO CON IVA]]+Tabla1513[[#This Row],[VALOR DE LAS ADICIONES CON IVA]]</f>
        <v>200000000</v>
      </c>
      <c r="S51" s="48">
        <v>365</v>
      </c>
      <c r="T51" s="56" t="s">
        <v>317</v>
      </c>
      <c r="U51" s="58">
        <f>+Tabla1513[[#This Row],[FECHA FINAL DEL CONTRATO]]-Tabla1513[[#This Row],[FECHA TERMINACIÓN INICIAL CONTRATO]]</f>
        <v>365</v>
      </c>
      <c r="V51" s="59" t="s">
        <v>318</v>
      </c>
      <c r="W51" s="70">
        <v>45253</v>
      </c>
      <c r="X51" s="70">
        <v>45618</v>
      </c>
      <c r="Y51" s="71">
        <v>45983</v>
      </c>
      <c r="Z51" s="72" t="s">
        <v>319</v>
      </c>
      <c r="AA51" s="60"/>
      <c r="AB51" s="56"/>
      <c r="AC51" s="56" t="s">
        <v>312</v>
      </c>
      <c r="AD51" s="34">
        <v>0.55000000000000004</v>
      </c>
      <c r="AE51" s="34">
        <v>0</v>
      </c>
      <c r="AF51" s="35">
        <v>2587800</v>
      </c>
      <c r="AG51" s="90" t="s">
        <v>610</v>
      </c>
      <c r="AH51" s="63">
        <v>2023</v>
      </c>
    </row>
    <row r="52" spans="1:34" ht="58" x14ac:dyDescent="0.35">
      <c r="A52" s="55" t="s">
        <v>330</v>
      </c>
      <c r="B52" s="2" t="s">
        <v>440</v>
      </c>
      <c r="C52" s="30" t="s">
        <v>52</v>
      </c>
      <c r="D52" s="30" t="s">
        <v>313</v>
      </c>
      <c r="E52" s="97" t="s">
        <v>611</v>
      </c>
      <c r="F52" s="70">
        <v>45180</v>
      </c>
      <c r="G52" s="30" t="s">
        <v>150</v>
      </c>
      <c r="H52" s="94" t="s">
        <v>601</v>
      </c>
      <c r="I52" s="101">
        <v>126050420.16806723</v>
      </c>
      <c r="J52" s="101">
        <v>23949579.831932768</v>
      </c>
      <c r="K52" s="47">
        <v>150000000</v>
      </c>
      <c r="L52" s="77" t="s">
        <v>84</v>
      </c>
      <c r="M52" s="54">
        <v>900239271</v>
      </c>
      <c r="N52" s="30" t="s">
        <v>91</v>
      </c>
      <c r="O52" s="2" t="s">
        <v>612</v>
      </c>
      <c r="P52" s="56" t="s">
        <v>318</v>
      </c>
      <c r="Q52" s="3"/>
      <c r="R52" s="32">
        <f>+Tabla1513[[#This Row],[VALOR INICIAL DEL CONTRATO CON IVA]]+Tabla1513[[#This Row],[VALOR DE LAS ADICIONES CON IVA]]</f>
        <v>150000000</v>
      </c>
      <c r="S52" s="48">
        <v>365</v>
      </c>
      <c r="T52" s="56" t="s">
        <v>317</v>
      </c>
      <c r="U52" s="58">
        <f>+Tabla1513[[#This Row],[FECHA FINAL DEL CONTRATO]]-Tabla1513[[#This Row],[FECHA TERMINACIÓN INICIAL CONTRATO]]</f>
        <v>365</v>
      </c>
      <c r="V52" s="59" t="s">
        <v>318</v>
      </c>
      <c r="W52" s="70">
        <v>45238</v>
      </c>
      <c r="X52" s="70">
        <v>45603</v>
      </c>
      <c r="Y52" s="71">
        <v>45968</v>
      </c>
      <c r="Z52" s="72" t="s">
        <v>319</v>
      </c>
      <c r="AA52" s="60"/>
      <c r="AB52" s="56"/>
      <c r="AC52" s="56" t="s">
        <v>312</v>
      </c>
      <c r="AD52" s="34">
        <v>0.56999999999999995</v>
      </c>
      <c r="AE52" s="34">
        <v>0</v>
      </c>
      <c r="AF52" s="35">
        <v>36379880</v>
      </c>
      <c r="AG52" s="90"/>
      <c r="AH52" s="63">
        <v>2023</v>
      </c>
    </row>
    <row r="53" spans="1:34" ht="58" x14ac:dyDescent="0.35">
      <c r="A53" s="55" t="s">
        <v>330</v>
      </c>
      <c r="B53" s="2" t="s">
        <v>440</v>
      </c>
      <c r="C53" s="30" t="s">
        <v>52</v>
      </c>
      <c r="D53" s="30" t="s">
        <v>313</v>
      </c>
      <c r="E53" s="97" t="s">
        <v>613</v>
      </c>
      <c r="F53" s="70">
        <v>45180</v>
      </c>
      <c r="G53" s="30" t="s">
        <v>150</v>
      </c>
      <c r="H53" s="94" t="s">
        <v>601</v>
      </c>
      <c r="I53" s="101">
        <v>462184873.94957983</v>
      </c>
      <c r="J53" s="101">
        <v>87815126.050420165</v>
      </c>
      <c r="K53" s="47">
        <v>550000000</v>
      </c>
      <c r="L53" s="77" t="s">
        <v>84</v>
      </c>
      <c r="M53" s="54">
        <v>901372699</v>
      </c>
      <c r="N53" s="30" t="s">
        <v>91</v>
      </c>
      <c r="O53" s="2" t="s">
        <v>614</v>
      </c>
      <c r="P53" s="56" t="s">
        <v>318</v>
      </c>
      <c r="Q53" s="3"/>
      <c r="R53" s="32">
        <f>+Tabla1513[[#This Row],[VALOR INICIAL DEL CONTRATO CON IVA]]+Tabla1513[[#This Row],[VALOR DE LAS ADICIONES CON IVA]]</f>
        <v>550000000</v>
      </c>
      <c r="S53" s="48">
        <v>365</v>
      </c>
      <c r="T53" s="56" t="s">
        <v>317</v>
      </c>
      <c r="U53" s="58">
        <f>+Tabla1513[[#This Row],[FECHA FINAL DEL CONTRATO]]-Tabla1513[[#This Row],[FECHA TERMINACIÓN INICIAL CONTRATO]]</f>
        <v>365</v>
      </c>
      <c r="V53" s="59" t="s">
        <v>318</v>
      </c>
      <c r="W53" s="70">
        <v>45287</v>
      </c>
      <c r="X53" s="70">
        <v>45652</v>
      </c>
      <c r="Y53" s="71">
        <v>46017</v>
      </c>
      <c r="Z53" s="72" t="s">
        <v>319</v>
      </c>
      <c r="AA53" s="60"/>
      <c r="AB53" s="56"/>
      <c r="AC53" s="56" t="s">
        <v>312</v>
      </c>
      <c r="AD53" s="34">
        <v>0.51</v>
      </c>
      <c r="AE53" s="34">
        <v>0</v>
      </c>
      <c r="AF53" s="35">
        <v>87918640</v>
      </c>
      <c r="AG53" s="90" t="s">
        <v>615</v>
      </c>
      <c r="AH53" s="63">
        <v>2023</v>
      </c>
    </row>
    <row r="54" spans="1:34" ht="58" x14ac:dyDescent="0.35">
      <c r="A54" s="55" t="s">
        <v>330</v>
      </c>
      <c r="B54" s="2" t="s">
        <v>440</v>
      </c>
      <c r="C54" s="30" t="s">
        <v>52</v>
      </c>
      <c r="D54" s="30" t="s">
        <v>313</v>
      </c>
      <c r="E54" s="97" t="s">
        <v>616</v>
      </c>
      <c r="F54" s="70">
        <v>45191</v>
      </c>
      <c r="G54" s="30" t="s">
        <v>150</v>
      </c>
      <c r="H54" s="94" t="s">
        <v>601</v>
      </c>
      <c r="I54" s="101">
        <v>168067226.89075631</v>
      </c>
      <c r="J54" s="101">
        <v>31932773.109243691</v>
      </c>
      <c r="K54" s="47">
        <v>200000000</v>
      </c>
      <c r="L54" s="77" t="s">
        <v>84</v>
      </c>
      <c r="M54" s="54">
        <v>901046977</v>
      </c>
      <c r="N54" s="30" t="s">
        <v>117</v>
      </c>
      <c r="O54" s="2" t="s">
        <v>617</v>
      </c>
      <c r="P54" s="56" t="s">
        <v>318</v>
      </c>
      <c r="Q54" s="3"/>
      <c r="R54" s="32">
        <f>+Tabla1513[[#This Row],[VALOR INICIAL DEL CONTRATO CON IVA]]+Tabla1513[[#This Row],[VALOR DE LAS ADICIONES CON IVA]]</f>
        <v>200000000</v>
      </c>
      <c r="S54" s="48">
        <v>364</v>
      </c>
      <c r="T54" s="56" t="s">
        <v>317</v>
      </c>
      <c r="U54" s="58">
        <f>+Tabla1513[[#This Row],[FECHA FINAL DEL CONTRATO]]-Tabla1513[[#This Row],[FECHA TERMINACIÓN INICIAL CONTRATO]]</f>
        <v>365</v>
      </c>
      <c r="V54" s="56" t="s">
        <v>318</v>
      </c>
      <c r="W54" s="70">
        <v>45418</v>
      </c>
      <c r="X54" s="70">
        <v>45782</v>
      </c>
      <c r="Y54" s="70">
        <v>46147</v>
      </c>
      <c r="Z54" s="72" t="s">
        <v>319</v>
      </c>
      <c r="AA54" s="60"/>
      <c r="AB54" s="56"/>
      <c r="AC54" s="56" t="s">
        <v>312</v>
      </c>
      <c r="AD54" s="34">
        <v>0.66</v>
      </c>
      <c r="AE54" s="34">
        <v>0</v>
      </c>
      <c r="AF54" s="35">
        <v>8579539</v>
      </c>
      <c r="AG54" s="90" t="s">
        <v>618</v>
      </c>
      <c r="AH54" s="63">
        <v>2023</v>
      </c>
    </row>
    <row r="55" spans="1:34" ht="58" x14ac:dyDescent="0.35">
      <c r="A55" s="55" t="s">
        <v>330</v>
      </c>
      <c r="B55" s="2" t="s">
        <v>440</v>
      </c>
      <c r="C55" s="30" t="s">
        <v>52</v>
      </c>
      <c r="D55" s="30" t="s">
        <v>313</v>
      </c>
      <c r="E55" s="97" t="s">
        <v>619</v>
      </c>
      <c r="F55" s="70">
        <v>45191</v>
      </c>
      <c r="G55" s="30" t="s">
        <v>150</v>
      </c>
      <c r="H55" s="94" t="s">
        <v>601</v>
      </c>
      <c r="I55" s="101">
        <v>84033613.445378155</v>
      </c>
      <c r="J55" s="101">
        <v>15966386.554621845</v>
      </c>
      <c r="K55" s="47">
        <v>100000000</v>
      </c>
      <c r="L55" s="77" t="s">
        <v>84</v>
      </c>
      <c r="M55" s="54">
        <v>830120079</v>
      </c>
      <c r="N55" s="30" t="s">
        <v>117</v>
      </c>
      <c r="O55" s="2" t="s">
        <v>620</v>
      </c>
      <c r="P55" s="56" t="s">
        <v>318</v>
      </c>
      <c r="Q55" s="3"/>
      <c r="R55" s="32">
        <f>+Tabla1513[[#This Row],[VALOR INICIAL DEL CONTRATO CON IVA]]+Tabla1513[[#This Row],[VALOR DE LAS ADICIONES CON IVA]]</f>
        <v>100000000</v>
      </c>
      <c r="S55" s="48">
        <v>365</v>
      </c>
      <c r="T55" s="56" t="s">
        <v>317</v>
      </c>
      <c r="U55" s="58">
        <f>+Tabla1513[[#This Row],[FECHA FINAL DEL CONTRATO]]-Tabla1513[[#This Row],[FECHA TERMINACIÓN INICIAL CONTRATO]]</f>
        <v>365</v>
      </c>
      <c r="V55" s="59" t="s">
        <v>318</v>
      </c>
      <c r="W55" s="70">
        <v>45281</v>
      </c>
      <c r="X55" s="70">
        <v>45646</v>
      </c>
      <c r="Y55" s="71">
        <v>46011</v>
      </c>
      <c r="Z55" s="72" t="s">
        <v>319</v>
      </c>
      <c r="AA55" s="60"/>
      <c r="AB55" s="56"/>
      <c r="AC55" s="56" t="s">
        <v>312</v>
      </c>
      <c r="AD55" s="34">
        <v>0.52</v>
      </c>
      <c r="AE55" s="34">
        <v>0</v>
      </c>
      <c r="AF55" s="35">
        <v>4808320</v>
      </c>
      <c r="AG55" s="90" t="s">
        <v>621</v>
      </c>
      <c r="AH55" s="63">
        <v>2023</v>
      </c>
    </row>
    <row r="56" spans="1:34" s="1" customFormat="1" ht="58" x14ac:dyDescent="0.35">
      <c r="A56" s="103" t="s">
        <v>330</v>
      </c>
      <c r="B56" s="1" t="s">
        <v>440</v>
      </c>
      <c r="C56" s="30" t="s">
        <v>52</v>
      </c>
      <c r="D56" s="30" t="s">
        <v>313</v>
      </c>
      <c r="E56" s="104" t="s">
        <v>622</v>
      </c>
      <c r="F56" s="113">
        <v>45191</v>
      </c>
      <c r="G56" s="30" t="s">
        <v>150</v>
      </c>
      <c r="H56" s="94" t="s">
        <v>601</v>
      </c>
      <c r="I56" s="106">
        <v>462184873.94957983</v>
      </c>
      <c r="J56" s="106">
        <v>87815126.050420165</v>
      </c>
      <c r="K56" s="7">
        <v>550000000</v>
      </c>
      <c r="L56" s="77" t="s">
        <v>84</v>
      </c>
      <c r="M56" s="67">
        <v>900110855</v>
      </c>
      <c r="N56" s="37" t="s">
        <v>117</v>
      </c>
      <c r="O56" s="2" t="s">
        <v>623</v>
      </c>
      <c r="P56" s="107" t="s">
        <v>318</v>
      </c>
      <c r="Q56" s="39"/>
      <c r="R56" s="32">
        <f>+Tabla1513[[#This Row],[VALOR INICIAL DEL CONTRATO CON IVA]]+Tabla1513[[#This Row],[VALOR DE LAS ADICIONES CON IVA]]</f>
        <v>550000000</v>
      </c>
      <c r="S56" s="5">
        <v>365</v>
      </c>
      <c r="T56" s="107" t="s">
        <v>317</v>
      </c>
      <c r="U56" s="109">
        <f>+Tabla1513[[#This Row],[FECHA FINAL DEL CONTRATO]]-Tabla1513[[#This Row],[FECHA TERMINACIÓN INICIAL CONTRATO]]</f>
        <v>365</v>
      </c>
      <c r="V56" s="110" t="s">
        <v>318</v>
      </c>
      <c r="W56" s="113">
        <v>45258</v>
      </c>
      <c r="X56" s="113">
        <v>45623</v>
      </c>
      <c r="Y56" s="114">
        <v>45988</v>
      </c>
      <c r="Z56" s="115" t="s">
        <v>319</v>
      </c>
      <c r="AA56" s="105"/>
      <c r="AB56" s="56"/>
      <c r="AC56" s="107" t="s">
        <v>312</v>
      </c>
      <c r="AD56" s="27">
        <v>0.55000000000000004</v>
      </c>
      <c r="AE56" s="27">
        <v>0</v>
      </c>
      <c r="AF56" s="41">
        <v>70486830.400000006</v>
      </c>
      <c r="AG56" s="90" t="s">
        <v>624</v>
      </c>
      <c r="AH56" s="68">
        <v>2023</v>
      </c>
    </row>
    <row r="57" spans="1:34" s="1" customFormat="1" ht="58" x14ac:dyDescent="0.35">
      <c r="A57" s="103" t="s">
        <v>330</v>
      </c>
      <c r="B57" s="1" t="s">
        <v>440</v>
      </c>
      <c r="C57" s="30" t="s">
        <v>52</v>
      </c>
      <c r="D57" s="30" t="s">
        <v>313</v>
      </c>
      <c r="E57" s="104" t="s">
        <v>625</v>
      </c>
      <c r="F57" s="113">
        <v>45195</v>
      </c>
      <c r="G57" s="30" t="s">
        <v>150</v>
      </c>
      <c r="H57" s="94" t="s">
        <v>601</v>
      </c>
      <c r="I57" s="106">
        <v>84033613.445378155</v>
      </c>
      <c r="J57" s="106">
        <v>15966386.554621845</v>
      </c>
      <c r="K57" s="7">
        <v>100000000</v>
      </c>
      <c r="L57" s="77" t="s">
        <v>84</v>
      </c>
      <c r="M57" s="67">
        <v>890326247</v>
      </c>
      <c r="N57" s="37" t="s">
        <v>91</v>
      </c>
      <c r="O57" s="2" t="s">
        <v>626</v>
      </c>
      <c r="P57" s="107" t="s">
        <v>318</v>
      </c>
      <c r="Q57" s="39"/>
      <c r="R57" s="32">
        <f>+Tabla1513[[#This Row],[VALOR INICIAL DEL CONTRATO CON IVA]]+Tabla1513[[#This Row],[VALOR DE LAS ADICIONES CON IVA]]</f>
        <v>100000000</v>
      </c>
      <c r="S57" s="5">
        <v>365</v>
      </c>
      <c r="T57" s="107" t="s">
        <v>317</v>
      </c>
      <c r="U57" s="109">
        <f>+Tabla1513[[#This Row],[FECHA FINAL DEL CONTRATO]]-Tabla1513[[#This Row],[FECHA TERMINACIÓN INICIAL CONTRATO]]</f>
        <v>365</v>
      </c>
      <c r="V57" s="110" t="s">
        <v>318</v>
      </c>
      <c r="W57" s="113">
        <v>45253</v>
      </c>
      <c r="X57" s="113">
        <v>45618</v>
      </c>
      <c r="Y57" s="114">
        <v>45983</v>
      </c>
      <c r="Z57" s="115" t="s">
        <v>319</v>
      </c>
      <c r="AA57" s="105"/>
      <c r="AB57" s="56"/>
      <c r="AC57" s="107" t="s">
        <v>312</v>
      </c>
      <c r="AD57" s="27">
        <v>0.55000000000000004</v>
      </c>
      <c r="AE57" s="27">
        <v>0</v>
      </c>
      <c r="AF57" s="41">
        <v>42013943</v>
      </c>
      <c r="AG57" s="90" t="s">
        <v>627</v>
      </c>
      <c r="AH57" s="68">
        <v>2023</v>
      </c>
    </row>
    <row r="58" spans="1:34" ht="58" x14ac:dyDescent="0.35">
      <c r="A58" s="55" t="s">
        <v>330</v>
      </c>
      <c r="B58" s="2" t="s">
        <v>440</v>
      </c>
      <c r="C58" s="30" t="s">
        <v>52</v>
      </c>
      <c r="D58" s="30" t="s">
        <v>313</v>
      </c>
      <c r="E58" s="97" t="s">
        <v>628</v>
      </c>
      <c r="F58" s="70">
        <v>45191</v>
      </c>
      <c r="G58" s="30" t="s">
        <v>150</v>
      </c>
      <c r="H58" s="94" t="s">
        <v>601</v>
      </c>
      <c r="I58" s="101">
        <v>168067226.89075631</v>
      </c>
      <c r="J58" s="101">
        <v>31932773.109243691</v>
      </c>
      <c r="K58" s="47">
        <v>200000000</v>
      </c>
      <c r="L58" s="77" t="s">
        <v>84</v>
      </c>
      <c r="M58" s="54">
        <v>830013802</v>
      </c>
      <c r="N58" s="30" t="s">
        <v>120</v>
      </c>
      <c r="O58" s="2" t="s">
        <v>629</v>
      </c>
      <c r="P58" s="56" t="s">
        <v>318</v>
      </c>
      <c r="Q58" s="3"/>
      <c r="R58" s="32">
        <f>+Tabla1513[[#This Row],[VALOR INICIAL DEL CONTRATO CON IVA]]+Tabla1513[[#This Row],[VALOR DE LAS ADICIONES CON IVA]]</f>
        <v>200000000</v>
      </c>
      <c r="S58" s="48">
        <v>365</v>
      </c>
      <c r="T58" s="56" t="s">
        <v>317</v>
      </c>
      <c r="U58" s="58">
        <f>+Tabla1513[[#This Row],[FECHA FINAL DEL CONTRATO]]-Tabla1513[[#This Row],[FECHA TERMINACIÓN INICIAL CONTRATO]]</f>
        <v>365</v>
      </c>
      <c r="V58" s="59" t="s">
        <v>318</v>
      </c>
      <c r="W58" s="70">
        <v>45273</v>
      </c>
      <c r="X58" s="70">
        <v>45638</v>
      </c>
      <c r="Y58" s="71">
        <v>46003</v>
      </c>
      <c r="Z58" s="72" t="s">
        <v>319</v>
      </c>
      <c r="AA58" s="60"/>
      <c r="AB58" s="56"/>
      <c r="AC58" s="56" t="s">
        <v>312</v>
      </c>
      <c r="AD58" s="34">
        <v>0.53</v>
      </c>
      <c r="AE58" s="34">
        <v>0</v>
      </c>
      <c r="AF58" s="35">
        <v>61608010</v>
      </c>
      <c r="AG58" s="90" t="s">
        <v>630</v>
      </c>
      <c r="AH58" s="63">
        <v>2023</v>
      </c>
    </row>
    <row r="59" spans="1:34" ht="43.5" x14ac:dyDescent="0.35">
      <c r="A59" s="55" t="s">
        <v>330</v>
      </c>
      <c r="B59" s="2" t="s">
        <v>31</v>
      </c>
      <c r="C59" s="30" t="s">
        <v>36</v>
      </c>
      <c r="D59" s="30" t="s">
        <v>412</v>
      </c>
      <c r="E59" s="97" t="s">
        <v>631</v>
      </c>
      <c r="F59" s="70">
        <v>45196</v>
      </c>
      <c r="G59" s="2" t="s">
        <v>632</v>
      </c>
      <c r="H59" s="94" t="s">
        <v>633</v>
      </c>
      <c r="I59" s="101">
        <v>1298089866.3865547</v>
      </c>
      <c r="J59" s="101">
        <v>246637074.6134454</v>
      </c>
      <c r="K59" s="47">
        <v>1544726941</v>
      </c>
      <c r="L59" s="77" t="s">
        <v>84</v>
      </c>
      <c r="M59" s="54">
        <v>800114672</v>
      </c>
      <c r="N59" s="30" t="s">
        <v>91</v>
      </c>
      <c r="O59" s="2" t="s">
        <v>634</v>
      </c>
      <c r="P59" s="56" t="s">
        <v>317</v>
      </c>
      <c r="Q59" s="3">
        <v>1544726941</v>
      </c>
      <c r="R59" s="32">
        <f>+Tabla1513[[#This Row],[VALOR INICIAL DEL CONTRATO CON IVA]]+Tabla1513[[#This Row],[VALOR DE LAS ADICIONES CON IVA]]</f>
        <v>3089453882</v>
      </c>
      <c r="S59" s="48">
        <v>366</v>
      </c>
      <c r="T59" s="56" t="s">
        <v>317</v>
      </c>
      <c r="U59" s="58">
        <v>365</v>
      </c>
      <c r="V59" s="59" t="s">
        <v>318</v>
      </c>
      <c r="W59" s="70">
        <v>45200</v>
      </c>
      <c r="X59" s="70">
        <v>45566</v>
      </c>
      <c r="Y59" s="71">
        <v>45931</v>
      </c>
      <c r="Z59" s="72" t="s">
        <v>319</v>
      </c>
      <c r="AA59" s="60"/>
      <c r="AB59" s="56" t="s">
        <v>406</v>
      </c>
      <c r="AC59" s="56" t="s">
        <v>1254</v>
      </c>
      <c r="AD59" s="34">
        <v>0.62</v>
      </c>
      <c r="AE59" s="34">
        <v>0.57999999999999996</v>
      </c>
      <c r="AF59" s="35">
        <v>1794316259</v>
      </c>
      <c r="AG59" s="90" t="s">
        <v>635</v>
      </c>
      <c r="AH59" s="63">
        <v>2023</v>
      </c>
    </row>
    <row r="60" spans="1:34" s="1" customFormat="1" ht="58" x14ac:dyDescent="0.35">
      <c r="A60" s="103" t="s">
        <v>330</v>
      </c>
      <c r="B60" s="1" t="s">
        <v>440</v>
      </c>
      <c r="C60" s="30" t="s">
        <v>52</v>
      </c>
      <c r="D60" s="30" t="s">
        <v>313</v>
      </c>
      <c r="E60" s="104" t="s">
        <v>637</v>
      </c>
      <c r="F60" s="113">
        <v>45194</v>
      </c>
      <c r="G60" s="30" t="s">
        <v>150</v>
      </c>
      <c r="H60" s="94" t="s">
        <v>638</v>
      </c>
      <c r="I60" s="106">
        <v>84033613.445378155</v>
      </c>
      <c r="J60" s="106">
        <v>15966386.554621845</v>
      </c>
      <c r="K60" s="7">
        <v>100000000</v>
      </c>
      <c r="L60" s="77" t="s">
        <v>84</v>
      </c>
      <c r="M60" s="67">
        <v>830114663</v>
      </c>
      <c r="N60" s="37" t="s">
        <v>108</v>
      </c>
      <c r="O60" s="2" t="s">
        <v>639</v>
      </c>
      <c r="P60" s="107" t="s">
        <v>318</v>
      </c>
      <c r="Q60" s="39"/>
      <c r="R60" s="32">
        <f>+Tabla1513[[#This Row],[VALOR INICIAL DEL CONTRATO CON IVA]]+Tabla1513[[#This Row],[VALOR DE LAS ADICIONES CON IVA]]</f>
        <v>100000000</v>
      </c>
      <c r="S60" s="5">
        <v>365</v>
      </c>
      <c r="T60" s="107" t="s">
        <v>317</v>
      </c>
      <c r="U60" s="109">
        <f>+Tabla1513[[#This Row],[FECHA FINAL DEL CONTRATO]]-Tabla1513[[#This Row],[FECHA TERMINACIÓN INICIAL CONTRATO]]</f>
        <v>365</v>
      </c>
      <c r="V60" s="110" t="s">
        <v>318</v>
      </c>
      <c r="W60" s="113">
        <v>45223</v>
      </c>
      <c r="X60" s="113">
        <v>45588</v>
      </c>
      <c r="Y60" s="114">
        <v>45953</v>
      </c>
      <c r="Z60" s="115" t="s">
        <v>319</v>
      </c>
      <c r="AA60" s="105"/>
      <c r="AB60" s="56"/>
      <c r="AC60" s="107" t="s">
        <v>312</v>
      </c>
      <c r="AD60" s="27">
        <v>0.59</v>
      </c>
      <c r="AE60" s="27">
        <v>0</v>
      </c>
      <c r="AF60" s="41">
        <v>17042750.039999999</v>
      </c>
      <c r="AG60" s="90" t="s">
        <v>640</v>
      </c>
      <c r="AH60" s="68">
        <v>2023</v>
      </c>
    </row>
    <row r="61" spans="1:34" ht="58" x14ac:dyDescent="0.35">
      <c r="A61" s="55" t="s">
        <v>330</v>
      </c>
      <c r="B61" s="2" t="s">
        <v>440</v>
      </c>
      <c r="C61" s="30" t="s">
        <v>52</v>
      </c>
      <c r="D61" s="2" t="s">
        <v>313</v>
      </c>
      <c r="E61" s="97" t="s">
        <v>641</v>
      </c>
      <c r="F61" s="70">
        <v>45210</v>
      </c>
      <c r="G61" s="30" t="s">
        <v>150</v>
      </c>
      <c r="H61" s="94" t="s">
        <v>569</v>
      </c>
      <c r="I61" s="101">
        <v>126050420.16806723</v>
      </c>
      <c r="J61" s="101">
        <v>23949579.831932768</v>
      </c>
      <c r="K61" s="47">
        <v>150000000</v>
      </c>
      <c r="L61" s="77" t="s">
        <v>84</v>
      </c>
      <c r="M61" s="54">
        <v>900141987</v>
      </c>
      <c r="N61" s="30" t="s">
        <v>103</v>
      </c>
      <c r="O61" s="2" t="s">
        <v>642</v>
      </c>
      <c r="P61" s="56" t="s">
        <v>318</v>
      </c>
      <c r="Q61" s="3"/>
      <c r="R61" s="32">
        <f>+Tabla1513[[#This Row],[VALOR INICIAL DEL CONTRATO CON IVA]]+Tabla1513[[#This Row],[VALOR DE LAS ADICIONES CON IVA]]</f>
        <v>150000000</v>
      </c>
      <c r="S61" s="48">
        <v>365</v>
      </c>
      <c r="T61" s="56" t="s">
        <v>317</v>
      </c>
      <c r="U61" s="58">
        <f>+Tabla1513[[#This Row],[FECHA FINAL DEL CONTRATO]]-Tabla1513[[#This Row],[FECHA TERMINACIÓN INICIAL CONTRATO]]</f>
        <v>365</v>
      </c>
      <c r="V61" s="59" t="s">
        <v>318</v>
      </c>
      <c r="W61" s="70">
        <v>45289</v>
      </c>
      <c r="X61" s="70">
        <v>45654</v>
      </c>
      <c r="Y61" s="71">
        <v>46019</v>
      </c>
      <c r="Z61" s="72" t="s">
        <v>319</v>
      </c>
      <c r="AA61" s="60"/>
      <c r="AB61" s="56"/>
      <c r="AC61" s="56" t="s">
        <v>312</v>
      </c>
      <c r="AD61" s="34">
        <v>0.5</v>
      </c>
      <c r="AE61" s="34">
        <v>0</v>
      </c>
      <c r="AF61" s="35">
        <v>3250424.3200000003</v>
      </c>
      <c r="AG61" s="90" t="s">
        <v>643</v>
      </c>
      <c r="AH61" s="63">
        <v>2023</v>
      </c>
    </row>
    <row r="62" spans="1:34" ht="43.5" x14ac:dyDescent="0.35">
      <c r="A62" s="55" t="s">
        <v>330</v>
      </c>
      <c r="B62" s="2" t="s">
        <v>11</v>
      </c>
      <c r="C62" s="30" t="s">
        <v>331</v>
      </c>
      <c r="D62" s="2" t="s">
        <v>313</v>
      </c>
      <c r="E62" s="97" t="s">
        <v>646</v>
      </c>
      <c r="F62" s="70">
        <v>45216</v>
      </c>
      <c r="G62" s="30" t="s">
        <v>150</v>
      </c>
      <c r="H62" s="94" t="s">
        <v>647</v>
      </c>
      <c r="I62" s="111">
        <v>0</v>
      </c>
      <c r="J62" s="111">
        <v>0</v>
      </c>
      <c r="K62" s="47">
        <v>0</v>
      </c>
      <c r="L62" s="77" t="s">
        <v>84</v>
      </c>
      <c r="M62" s="54">
        <v>890901604</v>
      </c>
      <c r="N62" s="30" t="s">
        <v>108</v>
      </c>
      <c r="O62" s="2" t="s">
        <v>648</v>
      </c>
      <c r="P62" s="56" t="s">
        <v>318</v>
      </c>
      <c r="Q62" s="3"/>
      <c r="R62" s="32">
        <f>+Tabla1513[[#This Row],[VALOR INICIAL DEL CONTRATO CON IVA]]+Tabla1513[[#This Row],[VALOR DE LAS ADICIONES CON IVA]]</f>
        <v>0</v>
      </c>
      <c r="S62" s="48">
        <v>425</v>
      </c>
      <c r="T62" s="56" t="s">
        <v>317</v>
      </c>
      <c r="U62" s="58">
        <v>365</v>
      </c>
      <c r="V62" s="59" t="s">
        <v>318</v>
      </c>
      <c r="W62" s="70">
        <v>45232</v>
      </c>
      <c r="X62" s="70">
        <v>45657</v>
      </c>
      <c r="Y62" s="71">
        <v>46022</v>
      </c>
      <c r="Z62" s="72" t="s">
        <v>319</v>
      </c>
      <c r="AA62" s="60"/>
      <c r="AB62" s="56"/>
      <c r="AC62" s="56" t="s">
        <v>312</v>
      </c>
      <c r="AD62" s="34">
        <v>0</v>
      </c>
      <c r="AE62" s="34">
        <v>0</v>
      </c>
      <c r="AF62" s="35">
        <v>0</v>
      </c>
      <c r="AG62" s="90" t="s">
        <v>649</v>
      </c>
      <c r="AH62" s="63">
        <v>2023</v>
      </c>
    </row>
    <row r="63" spans="1:34" ht="29" x14ac:dyDescent="0.35">
      <c r="A63" s="55" t="s">
        <v>330</v>
      </c>
      <c r="B63" s="2" t="s">
        <v>410</v>
      </c>
      <c r="C63" s="30" t="s">
        <v>68</v>
      </c>
      <c r="D63" s="2" t="s">
        <v>412</v>
      </c>
      <c r="E63" s="97" t="s">
        <v>650</v>
      </c>
      <c r="F63" s="70">
        <v>45224</v>
      </c>
      <c r="G63" s="30" t="s">
        <v>150</v>
      </c>
      <c r="H63" s="94" t="s">
        <v>651</v>
      </c>
      <c r="I63" s="101">
        <v>1287372499</v>
      </c>
      <c r="J63" s="101">
        <v>244600775</v>
      </c>
      <c r="K63" s="47">
        <v>1531973274</v>
      </c>
      <c r="L63" s="77" t="s">
        <v>84</v>
      </c>
      <c r="M63" s="54">
        <v>811011779</v>
      </c>
      <c r="N63" s="30" t="s">
        <v>120</v>
      </c>
      <c r="O63" s="2" t="s">
        <v>652</v>
      </c>
      <c r="P63" s="56" t="s">
        <v>318</v>
      </c>
      <c r="Q63" s="3"/>
      <c r="R63" s="32">
        <f>+Tabla1513[[#This Row],[VALOR INICIAL DEL CONTRATO CON IVA]]+Tabla1513[[#This Row],[VALOR DE LAS ADICIONES CON IVA]]</f>
        <v>1531973274</v>
      </c>
      <c r="S63" s="48">
        <v>730</v>
      </c>
      <c r="T63" s="56" t="s">
        <v>318</v>
      </c>
      <c r="U63" s="58"/>
      <c r="V63" s="56" t="s">
        <v>318</v>
      </c>
      <c r="W63" s="70">
        <v>45231</v>
      </c>
      <c r="X63" s="70">
        <v>45961</v>
      </c>
      <c r="Y63" s="71">
        <v>45961</v>
      </c>
      <c r="Z63" s="72" t="s">
        <v>319</v>
      </c>
      <c r="AA63" s="60"/>
      <c r="AB63" s="56"/>
      <c r="AC63" s="56" t="s">
        <v>653</v>
      </c>
      <c r="AD63" s="34">
        <v>0.57999999999999996</v>
      </c>
      <c r="AE63" s="34">
        <v>0.37</v>
      </c>
      <c r="AF63" s="35">
        <v>472524864</v>
      </c>
      <c r="AG63" s="90" t="s">
        <v>654</v>
      </c>
      <c r="AH63" s="63">
        <v>2023</v>
      </c>
    </row>
    <row r="64" spans="1:34" ht="58" x14ac:dyDescent="0.35">
      <c r="A64" s="55" t="s">
        <v>330</v>
      </c>
      <c r="B64" s="2" t="s">
        <v>440</v>
      </c>
      <c r="C64" s="30" t="s">
        <v>52</v>
      </c>
      <c r="D64" s="2" t="s">
        <v>313</v>
      </c>
      <c r="E64" s="97" t="s">
        <v>655</v>
      </c>
      <c r="F64" s="70">
        <v>45229</v>
      </c>
      <c r="G64" s="30" t="s">
        <v>150</v>
      </c>
      <c r="H64" s="94" t="s">
        <v>656</v>
      </c>
      <c r="I64" s="101">
        <v>84033613.445378155</v>
      </c>
      <c r="J64" s="101">
        <v>15966386.554621845</v>
      </c>
      <c r="K64" s="47">
        <v>100000000</v>
      </c>
      <c r="L64" s="77" t="s">
        <v>84</v>
      </c>
      <c r="M64" s="54">
        <v>901687362</v>
      </c>
      <c r="N64" s="30" t="s">
        <v>120</v>
      </c>
      <c r="O64" s="2" t="s">
        <v>657</v>
      </c>
      <c r="P64" s="56" t="s">
        <v>318</v>
      </c>
      <c r="Q64" s="3"/>
      <c r="R64" s="32">
        <f>+Tabla1513[[#This Row],[VALOR INICIAL DEL CONTRATO CON IVA]]+Tabla1513[[#This Row],[VALOR DE LAS ADICIONES CON IVA]]</f>
        <v>100000000</v>
      </c>
      <c r="S64" s="48">
        <v>365</v>
      </c>
      <c r="T64" s="56" t="s">
        <v>317</v>
      </c>
      <c r="U64" s="58">
        <f>+Tabla1513[[#This Row],[FECHA FINAL DEL CONTRATO]]-Tabla1513[[#This Row],[FECHA TERMINACIÓN INICIAL CONTRATO]]</f>
        <v>365</v>
      </c>
      <c r="V64" s="59" t="s">
        <v>318</v>
      </c>
      <c r="W64" s="70">
        <v>45273</v>
      </c>
      <c r="X64" s="70">
        <v>45638</v>
      </c>
      <c r="Y64" s="71">
        <v>46003</v>
      </c>
      <c r="Z64" s="72" t="s">
        <v>319</v>
      </c>
      <c r="AA64" s="60"/>
      <c r="AB64" s="56"/>
      <c r="AC64" s="56" t="s">
        <v>312</v>
      </c>
      <c r="AD64" s="34">
        <v>0.53</v>
      </c>
      <c r="AE64" s="34">
        <v>0</v>
      </c>
      <c r="AF64" s="35">
        <v>12442009.6</v>
      </c>
      <c r="AG64" s="90" t="s">
        <v>658</v>
      </c>
      <c r="AH64" s="63">
        <v>2023</v>
      </c>
    </row>
    <row r="65" spans="1:34" ht="43.5" x14ac:dyDescent="0.35">
      <c r="A65" s="55" t="s">
        <v>330</v>
      </c>
      <c r="B65" s="2" t="s">
        <v>31</v>
      </c>
      <c r="C65" s="30" t="s">
        <v>36</v>
      </c>
      <c r="D65" s="30" t="s">
        <v>362</v>
      </c>
      <c r="E65" s="97" t="s">
        <v>659</v>
      </c>
      <c r="F65" s="70">
        <v>45272</v>
      </c>
      <c r="G65" s="30" t="s">
        <v>150</v>
      </c>
      <c r="H65" s="94" t="s">
        <v>660</v>
      </c>
      <c r="I65" s="101">
        <v>96754642.857142866</v>
      </c>
      <c r="J65" s="101">
        <v>18383382.142857146</v>
      </c>
      <c r="K65" s="47">
        <v>115138025</v>
      </c>
      <c r="L65" s="77" t="s">
        <v>84</v>
      </c>
      <c r="M65" s="54">
        <v>900210800</v>
      </c>
      <c r="N65" s="30" t="s">
        <v>91</v>
      </c>
      <c r="O65" s="2" t="s">
        <v>661</v>
      </c>
      <c r="P65" s="56" t="s">
        <v>318</v>
      </c>
      <c r="Q65" s="3"/>
      <c r="R65" s="32">
        <f>+Tabla1513[[#This Row],[VALOR INICIAL DEL CONTRATO CON IVA]]+Tabla1513[[#This Row],[VALOR DE LAS ADICIONES CON IVA]]</f>
        <v>115138025</v>
      </c>
      <c r="S65" s="48">
        <v>730</v>
      </c>
      <c r="T65" s="56" t="s">
        <v>318</v>
      </c>
      <c r="U65" s="58"/>
      <c r="V65" s="56" t="s">
        <v>318</v>
      </c>
      <c r="W65" s="70">
        <v>45273</v>
      </c>
      <c r="X65" s="70">
        <v>46003</v>
      </c>
      <c r="Y65" s="71">
        <v>46003</v>
      </c>
      <c r="Z65" s="72" t="s">
        <v>319</v>
      </c>
      <c r="AA65" s="60"/>
      <c r="AB65" s="56"/>
      <c r="AC65" s="56" t="s">
        <v>1252</v>
      </c>
      <c r="AD65" s="34">
        <v>0.36</v>
      </c>
      <c r="AE65" s="34">
        <v>0.37</v>
      </c>
      <c r="AF65" s="35">
        <v>43105816</v>
      </c>
      <c r="AG65" s="90" t="s">
        <v>662</v>
      </c>
      <c r="AH65" s="63">
        <v>2023</v>
      </c>
    </row>
    <row r="66" spans="1:34" ht="43.5" x14ac:dyDescent="0.35">
      <c r="A66" s="55" t="s">
        <v>330</v>
      </c>
      <c r="B66" s="2" t="s">
        <v>11</v>
      </c>
      <c r="C66" s="30" t="s">
        <v>19</v>
      </c>
      <c r="D66" s="2" t="s">
        <v>313</v>
      </c>
      <c r="E66" s="97" t="s">
        <v>663</v>
      </c>
      <c r="F66" s="70">
        <v>45237</v>
      </c>
      <c r="G66" s="2" t="s">
        <v>88</v>
      </c>
      <c r="H66" s="94" t="s">
        <v>664</v>
      </c>
      <c r="I66" s="112">
        <v>33600938</v>
      </c>
      <c r="J66" s="111">
        <v>5568513</v>
      </c>
      <c r="K66" s="33">
        <v>39169451</v>
      </c>
      <c r="L66" s="77" t="s">
        <v>84</v>
      </c>
      <c r="M66" s="54">
        <v>900111713</v>
      </c>
      <c r="N66" s="30" t="s">
        <v>108</v>
      </c>
      <c r="O66" s="2" t="s">
        <v>665</v>
      </c>
      <c r="P66" s="56" t="s">
        <v>317</v>
      </c>
      <c r="Q66" s="3">
        <v>39169451</v>
      </c>
      <c r="R66" s="32">
        <f>+Tabla1513[[#This Row],[VALOR INICIAL DEL CONTRATO CON IVA]]+Tabla1513[[#This Row],[VALOR DE LAS ADICIONES CON IVA]]</f>
        <v>78338902</v>
      </c>
      <c r="S66" s="48">
        <v>365</v>
      </c>
      <c r="T66" s="56" t="s">
        <v>317</v>
      </c>
      <c r="U66" s="58">
        <v>365</v>
      </c>
      <c r="V66" s="59" t="s">
        <v>318</v>
      </c>
      <c r="W66" s="70">
        <v>45238</v>
      </c>
      <c r="X66" s="70">
        <v>45603</v>
      </c>
      <c r="Y66" s="71">
        <v>45968</v>
      </c>
      <c r="Z66" s="72" t="s">
        <v>319</v>
      </c>
      <c r="AA66" s="60"/>
      <c r="AB66" s="56"/>
      <c r="AC66" s="56" t="s">
        <v>337</v>
      </c>
      <c r="AD66" s="34">
        <v>0.16669999999999999</v>
      </c>
      <c r="AE66" s="34">
        <v>0.16669999999999999</v>
      </c>
      <c r="AF66" s="35">
        <v>36397569</v>
      </c>
      <c r="AG66" s="90" t="s">
        <v>666</v>
      </c>
      <c r="AH66" s="63">
        <v>2023</v>
      </c>
    </row>
    <row r="67" spans="1:34" ht="43.5" x14ac:dyDescent="0.35">
      <c r="A67" s="55" t="s">
        <v>330</v>
      </c>
      <c r="B67" s="2" t="s">
        <v>11</v>
      </c>
      <c r="C67" s="30" t="s">
        <v>19</v>
      </c>
      <c r="D67" s="2" t="s">
        <v>313</v>
      </c>
      <c r="E67" s="97" t="s">
        <v>667</v>
      </c>
      <c r="F67" s="70">
        <v>45250</v>
      </c>
      <c r="G67" s="30" t="s">
        <v>142</v>
      </c>
      <c r="H67" s="94" t="s">
        <v>668</v>
      </c>
      <c r="I67" s="101">
        <v>35168933</v>
      </c>
      <c r="J67" s="101">
        <v>6682097</v>
      </c>
      <c r="K67" s="47">
        <v>41851030</v>
      </c>
      <c r="L67" s="77" t="s">
        <v>84</v>
      </c>
      <c r="M67" s="54">
        <v>900129621</v>
      </c>
      <c r="N67" s="30" t="s">
        <v>108</v>
      </c>
      <c r="O67" s="2" t="s">
        <v>466</v>
      </c>
      <c r="P67" s="56" t="s">
        <v>318</v>
      </c>
      <c r="Q67" s="3"/>
      <c r="R67" s="32">
        <f>+Tabla1513[[#This Row],[VALOR INICIAL DEL CONTRATO CON IVA]]+Tabla1513[[#This Row],[VALOR DE LAS ADICIONES CON IVA]]</f>
        <v>41851030</v>
      </c>
      <c r="S67" s="48">
        <v>730</v>
      </c>
      <c r="T67" s="56" t="s">
        <v>318</v>
      </c>
      <c r="U67" s="58"/>
      <c r="V67" s="56" t="s">
        <v>318</v>
      </c>
      <c r="W67" s="70">
        <v>45258</v>
      </c>
      <c r="X67" s="70">
        <v>45989</v>
      </c>
      <c r="Y67" s="71">
        <v>45989</v>
      </c>
      <c r="Z67" s="72" t="s">
        <v>319</v>
      </c>
      <c r="AA67" s="60"/>
      <c r="AB67" s="56"/>
      <c r="AC67" s="56" t="s">
        <v>669</v>
      </c>
      <c r="AD67" s="34">
        <v>0.55000000000000004</v>
      </c>
      <c r="AE67" s="34">
        <v>0.06</v>
      </c>
      <c r="AF67" s="35">
        <v>2653901</v>
      </c>
      <c r="AG67" s="90" t="s">
        <v>670</v>
      </c>
      <c r="AH67" s="63">
        <v>2023</v>
      </c>
    </row>
    <row r="68" spans="1:34" ht="43.5" x14ac:dyDescent="0.35">
      <c r="A68" s="55" t="s">
        <v>330</v>
      </c>
      <c r="B68" s="2" t="s">
        <v>11</v>
      </c>
      <c r="C68" s="30" t="s">
        <v>19</v>
      </c>
      <c r="D68" s="2" t="s">
        <v>412</v>
      </c>
      <c r="E68" s="97" t="s">
        <v>672</v>
      </c>
      <c r="F68" s="70">
        <v>45253</v>
      </c>
      <c r="G68" s="2" t="s">
        <v>113</v>
      </c>
      <c r="H68" s="94" t="s">
        <v>673</v>
      </c>
      <c r="I68" s="112">
        <v>1910261735</v>
      </c>
      <c r="J68" s="111">
        <v>362949728</v>
      </c>
      <c r="K68" s="33">
        <v>2273211463</v>
      </c>
      <c r="L68" s="77" t="s">
        <v>84</v>
      </c>
      <c r="M68" s="54">
        <v>901775413</v>
      </c>
      <c r="N68" s="30" t="s">
        <v>97</v>
      </c>
      <c r="O68" s="2" t="s">
        <v>674</v>
      </c>
      <c r="P68" s="56" t="s">
        <v>318</v>
      </c>
      <c r="Q68" s="3"/>
      <c r="R68" s="32">
        <f>+Tabla1513[[#This Row],[VALOR INICIAL DEL CONTRATO CON IVA]]+Tabla1513[[#This Row],[VALOR DE LAS ADICIONES CON IVA]]</f>
        <v>2273211463</v>
      </c>
      <c r="S68" s="48">
        <v>730</v>
      </c>
      <c r="T68" s="56" t="s">
        <v>318</v>
      </c>
      <c r="U68" s="58"/>
      <c r="V68" s="56" t="s">
        <v>318</v>
      </c>
      <c r="W68" s="70">
        <v>45253</v>
      </c>
      <c r="X68" s="70">
        <v>45983</v>
      </c>
      <c r="Y68" s="71">
        <v>45983</v>
      </c>
      <c r="Z68" s="72" t="s">
        <v>319</v>
      </c>
      <c r="AA68" s="60"/>
      <c r="AB68" s="56"/>
      <c r="AC68" s="56" t="s">
        <v>1247</v>
      </c>
      <c r="AD68" s="34">
        <v>0.53769999999999996</v>
      </c>
      <c r="AE68" s="34">
        <v>0.49080000000000001</v>
      </c>
      <c r="AF68" s="35">
        <v>1115728960</v>
      </c>
      <c r="AG68" s="90" t="s">
        <v>675</v>
      </c>
      <c r="AH68" s="63">
        <v>2023</v>
      </c>
    </row>
    <row r="69" spans="1:34" ht="43.5" x14ac:dyDescent="0.35">
      <c r="A69" s="55" t="s">
        <v>330</v>
      </c>
      <c r="B69" s="2" t="s">
        <v>310</v>
      </c>
      <c r="C69" s="30" t="s">
        <v>677</v>
      </c>
      <c r="D69" s="2" t="s">
        <v>313</v>
      </c>
      <c r="E69" s="97" t="s">
        <v>678</v>
      </c>
      <c r="F69" s="70">
        <v>45272</v>
      </c>
      <c r="G69" s="2" t="s">
        <v>88</v>
      </c>
      <c r="H69" s="94" t="s">
        <v>1800</v>
      </c>
      <c r="I69" s="111">
        <v>248075018.48699999</v>
      </c>
      <c r="J69" s="111">
        <v>47134253.512500003</v>
      </c>
      <c r="K69" s="47">
        <v>295209272</v>
      </c>
      <c r="L69" s="77" t="s">
        <v>84</v>
      </c>
      <c r="M69" s="54">
        <v>891100247</v>
      </c>
      <c r="N69" s="30" t="s">
        <v>108</v>
      </c>
      <c r="O69" s="2" t="s">
        <v>679</v>
      </c>
      <c r="P69" s="56" t="s">
        <v>318</v>
      </c>
      <c r="Q69" s="3"/>
      <c r="R69" s="32">
        <f>+Tabla1513[[#This Row],[VALOR INICIAL DEL CONTRATO CON IVA]]+Tabla1513[[#This Row],[VALOR DE LAS ADICIONES CON IVA]]</f>
        <v>295209272</v>
      </c>
      <c r="S69" s="48">
        <v>1095</v>
      </c>
      <c r="T69" s="56" t="s">
        <v>318</v>
      </c>
      <c r="U69" s="58"/>
      <c r="V69" s="56" t="s">
        <v>318</v>
      </c>
      <c r="W69" s="70">
        <v>45282</v>
      </c>
      <c r="X69" s="70">
        <v>46377</v>
      </c>
      <c r="Y69" s="71">
        <v>46377</v>
      </c>
      <c r="Z69" s="72" t="s">
        <v>319</v>
      </c>
      <c r="AA69" s="60"/>
      <c r="AB69" s="56"/>
      <c r="AC69" s="56" t="s">
        <v>320</v>
      </c>
      <c r="AD69" s="34">
        <v>0.49880000000000002</v>
      </c>
      <c r="AE69" s="34">
        <v>0.49880000000000002</v>
      </c>
      <c r="AF69" s="35">
        <v>147967770</v>
      </c>
      <c r="AG69" s="90" t="s">
        <v>680</v>
      </c>
      <c r="AH69" s="63">
        <v>2023</v>
      </c>
    </row>
    <row r="70" spans="1:34" ht="58" x14ac:dyDescent="0.35">
      <c r="A70" s="55" t="s">
        <v>330</v>
      </c>
      <c r="B70" s="2" t="s">
        <v>440</v>
      </c>
      <c r="C70" s="30" t="s">
        <v>52</v>
      </c>
      <c r="D70" s="2" t="s">
        <v>313</v>
      </c>
      <c r="E70" s="97" t="s">
        <v>681</v>
      </c>
      <c r="F70" s="70">
        <v>45272</v>
      </c>
      <c r="G70" s="30" t="s">
        <v>150</v>
      </c>
      <c r="H70" s="94" t="s">
        <v>569</v>
      </c>
      <c r="I70" s="101">
        <v>378151260.50420171</v>
      </c>
      <c r="J70" s="101">
        <v>71848739.49579829</v>
      </c>
      <c r="K70" s="47">
        <v>450000000</v>
      </c>
      <c r="L70" s="77" t="s">
        <v>84</v>
      </c>
      <c r="M70" s="54">
        <v>900438988</v>
      </c>
      <c r="N70" s="30" t="s">
        <v>117</v>
      </c>
      <c r="O70" s="2" t="s">
        <v>682</v>
      </c>
      <c r="P70" s="56" t="s">
        <v>318</v>
      </c>
      <c r="Q70" s="3"/>
      <c r="R70" s="32">
        <f>+Tabla1513[[#This Row],[VALOR INICIAL DEL CONTRATO CON IVA]]+Tabla1513[[#This Row],[VALOR DE LAS ADICIONES CON IVA]]</f>
        <v>450000000</v>
      </c>
      <c r="S70" s="48">
        <v>365</v>
      </c>
      <c r="T70" s="56" t="s">
        <v>317</v>
      </c>
      <c r="U70" s="58">
        <f>+Tabla1513[[#This Row],[FECHA FINAL DEL CONTRATO]]-Tabla1513[[#This Row],[FECHA TERMINACIÓN INICIAL CONTRATO]]</f>
        <v>365</v>
      </c>
      <c r="V70" s="59" t="s">
        <v>318</v>
      </c>
      <c r="W70" s="70">
        <v>45272</v>
      </c>
      <c r="X70" s="70">
        <v>45637</v>
      </c>
      <c r="Y70" s="71">
        <v>46002</v>
      </c>
      <c r="Z70" s="72" t="s">
        <v>319</v>
      </c>
      <c r="AA70" s="60"/>
      <c r="AB70" s="56"/>
      <c r="AC70" s="56" t="s">
        <v>312</v>
      </c>
      <c r="AD70" s="34">
        <v>0.88</v>
      </c>
      <c r="AE70" s="34">
        <v>0</v>
      </c>
      <c r="AF70" s="35">
        <v>9041816</v>
      </c>
      <c r="AG70" s="90" t="s">
        <v>683</v>
      </c>
      <c r="AH70" s="63">
        <v>2023</v>
      </c>
    </row>
    <row r="71" spans="1:34" ht="29" x14ac:dyDescent="0.35">
      <c r="A71" s="55" t="s">
        <v>330</v>
      </c>
      <c r="B71" s="2" t="s">
        <v>11</v>
      </c>
      <c r="C71" s="30" t="s">
        <v>19</v>
      </c>
      <c r="D71" s="2" t="s">
        <v>313</v>
      </c>
      <c r="E71" s="97" t="s">
        <v>686</v>
      </c>
      <c r="F71" s="70">
        <v>45281</v>
      </c>
      <c r="G71" s="30" t="s">
        <v>150</v>
      </c>
      <c r="H71" s="94" t="s">
        <v>1749</v>
      </c>
      <c r="I71" s="101">
        <v>19260000</v>
      </c>
      <c r="J71" s="101">
        <v>3659400</v>
      </c>
      <c r="K71" s="47">
        <v>22919400</v>
      </c>
      <c r="L71" s="77" t="s">
        <v>84</v>
      </c>
      <c r="M71" s="54">
        <v>900066695</v>
      </c>
      <c r="N71" s="30" t="s">
        <v>117</v>
      </c>
      <c r="O71" s="2" t="s">
        <v>687</v>
      </c>
      <c r="P71" s="56" t="s">
        <v>318</v>
      </c>
      <c r="Q71" s="3"/>
      <c r="R71" s="32">
        <f>+Tabla1513[[#This Row],[VALOR INICIAL DEL CONTRATO CON IVA]]+Tabla1513[[#This Row],[VALOR DE LAS ADICIONES CON IVA]]</f>
        <v>22919400</v>
      </c>
      <c r="S71" s="48">
        <v>1095</v>
      </c>
      <c r="T71" s="56" t="s">
        <v>318</v>
      </c>
      <c r="U71" s="58"/>
      <c r="V71" s="56" t="s">
        <v>318</v>
      </c>
      <c r="W71" s="70">
        <v>45281</v>
      </c>
      <c r="X71" s="70">
        <v>46376</v>
      </c>
      <c r="Y71" s="71">
        <v>46376</v>
      </c>
      <c r="Z71" s="72" t="s">
        <v>319</v>
      </c>
      <c r="AA71" s="60"/>
      <c r="AB71" s="56"/>
      <c r="AC71" s="56" t="s">
        <v>688</v>
      </c>
      <c r="AD71" s="34">
        <v>0.34</v>
      </c>
      <c r="AE71" s="34">
        <v>0.39</v>
      </c>
      <c r="AF71" s="35">
        <v>8847650</v>
      </c>
      <c r="AG71" s="90" t="s">
        <v>689</v>
      </c>
      <c r="AH71" s="63">
        <v>2023</v>
      </c>
    </row>
    <row r="72" spans="1:34" ht="43.5" x14ac:dyDescent="0.35">
      <c r="A72" s="55" t="s">
        <v>330</v>
      </c>
      <c r="B72" s="2" t="s">
        <v>440</v>
      </c>
      <c r="C72" s="30" t="s">
        <v>51</v>
      </c>
      <c r="D72" s="2" t="s">
        <v>412</v>
      </c>
      <c r="E72" s="97" t="s">
        <v>690</v>
      </c>
      <c r="F72" s="70">
        <v>45281</v>
      </c>
      <c r="G72" s="30" t="s">
        <v>150</v>
      </c>
      <c r="H72" s="94" t="s">
        <v>691</v>
      </c>
      <c r="I72" s="112">
        <v>1589192045.3781514</v>
      </c>
      <c r="J72" s="111">
        <v>301946488.62184876</v>
      </c>
      <c r="K72" s="33">
        <v>1891138534.0000002</v>
      </c>
      <c r="L72" s="77" t="s">
        <v>84</v>
      </c>
      <c r="M72" s="54">
        <v>900272403</v>
      </c>
      <c r="N72" s="30" t="s">
        <v>114</v>
      </c>
      <c r="O72" s="2" t="s">
        <v>692</v>
      </c>
      <c r="P72" s="56" t="s">
        <v>318</v>
      </c>
      <c r="Q72" s="3"/>
      <c r="R72" s="32">
        <f>+Tabla1513[[#This Row],[VALOR INICIAL DEL CONTRATO CON IVA]]+Tabla1513[[#This Row],[VALOR DE LAS ADICIONES CON IVA]]</f>
        <v>1891138534.0000002</v>
      </c>
      <c r="S72" s="48">
        <v>1095</v>
      </c>
      <c r="T72" s="56" t="s">
        <v>318</v>
      </c>
      <c r="U72" s="58"/>
      <c r="V72" s="56" t="s">
        <v>318</v>
      </c>
      <c r="W72" s="70">
        <v>45323</v>
      </c>
      <c r="X72" s="70">
        <v>46418</v>
      </c>
      <c r="Y72" s="70">
        <v>46418</v>
      </c>
      <c r="Z72" s="72" t="s">
        <v>319</v>
      </c>
      <c r="AA72" s="60"/>
      <c r="AB72" s="56"/>
      <c r="AC72" s="56" t="s">
        <v>312</v>
      </c>
      <c r="AD72" s="34">
        <v>0.30499999999999999</v>
      </c>
      <c r="AE72" s="34">
        <v>0.1867</v>
      </c>
      <c r="AF72" s="35">
        <v>353069335</v>
      </c>
      <c r="AG72" s="90"/>
      <c r="AH72" s="63">
        <v>2023</v>
      </c>
    </row>
    <row r="73" spans="1:34" ht="43.5" x14ac:dyDescent="0.35">
      <c r="A73" s="55" t="s">
        <v>330</v>
      </c>
      <c r="B73" s="2" t="s">
        <v>31</v>
      </c>
      <c r="C73" s="30" t="s">
        <v>35</v>
      </c>
      <c r="D73" s="2" t="s">
        <v>313</v>
      </c>
      <c r="E73" s="97" t="s">
        <v>693</v>
      </c>
      <c r="F73" s="70">
        <v>45282</v>
      </c>
      <c r="G73" s="30" t="s">
        <v>150</v>
      </c>
      <c r="H73" s="94" t="s">
        <v>694</v>
      </c>
      <c r="I73" s="101">
        <v>999592000.00840342</v>
      </c>
      <c r="J73" s="101">
        <v>189922480.00159666</v>
      </c>
      <c r="K73" s="47">
        <v>1189514480</v>
      </c>
      <c r="L73" s="77" t="s">
        <v>84</v>
      </c>
      <c r="M73" s="54">
        <v>900531376</v>
      </c>
      <c r="N73" s="30" t="s">
        <v>117</v>
      </c>
      <c r="O73" s="2" t="s">
        <v>499</v>
      </c>
      <c r="P73" s="56" t="s">
        <v>318</v>
      </c>
      <c r="Q73" s="3"/>
      <c r="R73" s="32">
        <f>+Tabla1513[[#This Row],[VALOR INICIAL DEL CONTRATO CON IVA]]+Tabla1513[[#This Row],[VALOR DE LAS ADICIONES CON IVA]]</f>
        <v>1189514480</v>
      </c>
      <c r="S73" s="48">
        <v>1095</v>
      </c>
      <c r="T73" s="56" t="s">
        <v>318</v>
      </c>
      <c r="U73" s="58"/>
      <c r="V73" s="56" t="s">
        <v>318</v>
      </c>
      <c r="W73" s="70">
        <v>45282</v>
      </c>
      <c r="X73" s="70">
        <v>46377</v>
      </c>
      <c r="Y73" s="71">
        <v>46377</v>
      </c>
      <c r="Z73" s="72" t="s">
        <v>319</v>
      </c>
      <c r="AA73" s="60"/>
      <c r="AB73" s="56"/>
      <c r="AC73" s="56" t="s">
        <v>558</v>
      </c>
      <c r="AD73" s="34">
        <v>0.36</v>
      </c>
      <c r="AE73" s="34">
        <v>0.33300000000000002</v>
      </c>
      <c r="AF73" s="35">
        <v>396504825</v>
      </c>
      <c r="AG73" s="90" t="s">
        <v>695</v>
      </c>
      <c r="AH73" s="63">
        <v>2023</v>
      </c>
    </row>
    <row r="74" spans="1:34" ht="29" x14ac:dyDescent="0.35">
      <c r="A74" s="55" t="s">
        <v>330</v>
      </c>
      <c r="B74" s="2" t="s">
        <v>422</v>
      </c>
      <c r="C74" s="30" t="s">
        <v>44</v>
      </c>
      <c r="D74" s="2" t="s">
        <v>313</v>
      </c>
      <c r="E74" s="97" t="s">
        <v>696</v>
      </c>
      <c r="F74" s="70">
        <v>45286</v>
      </c>
      <c r="G74" s="30" t="s">
        <v>150</v>
      </c>
      <c r="H74" s="94" t="s">
        <v>697</v>
      </c>
      <c r="I74" s="111">
        <v>35114002</v>
      </c>
      <c r="J74" s="111">
        <v>6671661</v>
      </c>
      <c r="K74" s="47">
        <v>41785663</v>
      </c>
      <c r="L74" s="77" t="s">
        <v>84</v>
      </c>
      <c r="M74" s="54">
        <v>900342562</v>
      </c>
      <c r="N74" s="30" t="s">
        <v>91</v>
      </c>
      <c r="O74" s="2" t="s">
        <v>698</v>
      </c>
      <c r="P74" s="56" t="s">
        <v>318</v>
      </c>
      <c r="Q74" s="3"/>
      <c r="R74" s="32">
        <f>+Tabla1513[[#This Row],[VALOR INICIAL DEL CONTRATO CON IVA]]+Tabla1513[[#This Row],[VALOR DE LAS ADICIONES CON IVA]]</f>
        <v>41785663</v>
      </c>
      <c r="S74" s="48">
        <v>736</v>
      </c>
      <c r="T74" s="56" t="s">
        <v>318</v>
      </c>
      <c r="U74" s="58"/>
      <c r="V74" s="56" t="s">
        <v>318</v>
      </c>
      <c r="W74" s="70">
        <v>45286</v>
      </c>
      <c r="X74" s="70">
        <v>46022</v>
      </c>
      <c r="Y74" s="71">
        <v>46022</v>
      </c>
      <c r="Z74" s="72" t="s">
        <v>319</v>
      </c>
      <c r="AA74" s="60"/>
      <c r="AB74" s="56"/>
      <c r="AC74" s="56" t="s">
        <v>699</v>
      </c>
      <c r="AD74" s="34">
        <v>0.5</v>
      </c>
      <c r="AE74" s="34">
        <v>0.31181355340732164</v>
      </c>
      <c r="AF74" s="35">
        <v>13029336.179999996</v>
      </c>
      <c r="AG74" s="90" t="s">
        <v>700</v>
      </c>
      <c r="AH74" s="63">
        <v>2023</v>
      </c>
    </row>
    <row r="75" spans="1:34" ht="58" x14ac:dyDescent="0.35">
      <c r="A75" s="55" t="s">
        <v>330</v>
      </c>
      <c r="B75" s="2" t="s">
        <v>31</v>
      </c>
      <c r="C75" s="30" t="s">
        <v>39</v>
      </c>
      <c r="D75" s="2" t="s">
        <v>313</v>
      </c>
      <c r="E75" s="97" t="s">
        <v>703</v>
      </c>
      <c r="F75" s="70">
        <v>45288</v>
      </c>
      <c r="G75" s="30" t="s">
        <v>150</v>
      </c>
      <c r="H75" s="94" t="s">
        <v>704</v>
      </c>
      <c r="I75" s="101">
        <v>1282784631.9327731</v>
      </c>
      <c r="J75" s="101">
        <v>243729080.06722689</v>
      </c>
      <c r="K75" s="47">
        <v>1526513712</v>
      </c>
      <c r="L75" s="77" t="s">
        <v>84</v>
      </c>
      <c r="M75" s="54">
        <v>900554898</v>
      </c>
      <c r="N75" s="30" t="s">
        <v>123</v>
      </c>
      <c r="O75" s="2" t="s">
        <v>705</v>
      </c>
      <c r="P75" s="56" t="s">
        <v>318</v>
      </c>
      <c r="Q75" s="3"/>
      <c r="R75" s="32">
        <f>+Tabla1513[[#This Row],[VALOR INICIAL DEL CONTRATO CON IVA]]+Tabla1513[[#This Row],[VALOR DE LAS ADICIONES CON IVA]]</f>
        <v>1526513712</v>
      </c>
      <c r="S75" s="48">
        <v>730</v>
      </c>
      <c r="T75" s="56" t="s">
        <v>318</v>
      </c>
      <c r="U75" s="58"/>
      <c r="V75" s="56" t="s">
        <v>318</v>
      </c>
      <c r="W75" s="70">
        <v>45288</v>
      </c>
      <c r="X75" s="70">
        <v>46018</v>
      </c>
      <c r="Y75" s="71">
        <v>46018</v>
      </c>
      <c r="Z75" s="72" t="s">
        <v>319</v>
      </c>
      <c r="AA75" s="60"/>
      <c r="AB75" s="56"/>
      <c r="AC75" s="56" t="s">
        <v>1246</v>
      </c>
      <c r="AD75" s="34">
        <v>0.42</v>
      </c>
      <c r="AE75" s="34">
        <v>0.378</v>
      </c>
      <c r="AF75" s="35">
        <v>576782709</v>
      </c>
      <c r="AG75" s="90" t="s">
        <v>706</v>
      </c>
      <c r="AH75" s="63">
        <v>2023</v>
      </c>
    </row>
    <row r="76" spans="1:34" ht="43.5" x14ac:dyDescent="0.35">
      <c r="A76" s="55" t="s">
        <v>330</v>
      </c>
      <c r="B76" s="2" t="s">
        <v>31</v>
      </c>
      <c r="C76" s="30" t="s">
        <v>35</v>
      </c>
      <c r="D76" s="2" t="s">
        <v>313</v>
      </c>
      <c r="E76" s="97" t="s">
        <v>707</v>
      </c>
      <c r="F76" s="70">
        <v>45289</v>
      </c>
      <c r="G76" s="30" t="s">
        <v>150</v>
      </c>
      <c r="H76" s="94" t="s">
        <v>708</v>
      </c>
      <c r="I76" s="101">
        <v>1982295600</v>
      </c>
      <c r="J76" s="101">
        <v>376636164</v>
      </c>
      <c r="K76" s="47">
        <v>2358931764</v>
      </c>
      <c r="L76" s="77" t="s">
        <v>84</v>
      </c>
      <c r="M76" s="54">
        <v>900554898</v>
      </c>
      <c r="N76" s="30" t="s">
        <v>123</v>
      </c>
      <c r="O76" s="2" t="s">
        <v>705</v>
      </c>
      <c r="P76" s="56" t="s">
        <v>318</v>
      </c>
      <c r="Q76" s="3"/>
      <c r="R76" s="32">
        <f>+Tabla1513[[#This Row],[VALOR INICIAL DEL CONTRATO CON IVA]]+Tabla1513[[#This Row],[VALOR DE LAS ADICIONES CON IVA]]</f>
        <v>2358931764</v>
      </c>
      <c r="S76" s="48">
        <v>730</v>
      </c>
      <c r="T76" s="56" t="s">
        <v>318</v>
      </c>
      <c r="U76" s="58"/>
      <c r="V76" s="56" t="s">
        <v>318</v>
      </c>
      <c r="W76" s="70">
        <v>45289</v>
      </c>
      <c r="X76" s="70">
        <v>46019</v>
      </c>
      <c r="Y76" s="71">
        <v>46019</v>
      </c>
      <c r="Z76" s="72" t="s">
        <v>319</v>
      </c>
      <c r="AA76" s="60"/>
      <c r="AB76" s="56"/>
      <c r="AC76" s="56" t="s">
        <v>558</v>
      </c>
      <c r="AD76" s="34">
        <v>0.49930000000000002</v>
      </c>
      <c r="AE76" s="34">
        <v>0.442</v>
      </c>
      <c r="AF76" s="35">
        <v>1053628733</v>
      </c>
      <c r="AG76" s="90" t="s">
        <v>709</v>
      </c>
      <c r="AH76" s="63">
        <v>2023</v>
      </c>
    </row>
    <row r="77" spans="1:34" ht="29" x14ac:dyDescent="0.35">
      <c r="A77" s="55" t="s">
        <v>330</v>
      </c>
      <c r="B77" s="2" t="s">
        <v>11</v>
      </c>
      <c r="C77" s="30" t="s">
        <v>19</v>
      </c>
      <c r="D77" s="2" t="s">
        <v>313</v>
      </c>
      <c r="E77" s="96" t="s">
        <v>717</v>
      </c>
      <c r="F77" s="70">
        <v>45296</v>
      </c>
      <c r="G77" s="30" t="s">
        <v>150</v>
      </c>
      <c r="H77" s="94" t="s">
        <v>718</v>
      </c>
      <c r="I77" s="112">
        <v>43742859</v>
      </c>
      <c r="J77" s="111">
        <v>8311143</v>
      </c>
      <c r="K77" s="47">
        <v>52054002</v>
      </c>
      <c r="L77" s="77" t="s">
        <v>96</v>
      </c>
      <c r="M77" s="54">
        <v>51933924</v>
      </c>
      <c r="N77" s="30"/>
      <c r="O77" s="2" t="s">
        <v>719</v>
      </c>
      <c r="P77" s="56" t="s">
        <v>318</v>
      </c>
      <c r="Q77" s="3"/>
      <c r="R77" s="32">
        <f>+Tabla1513[[#This Row],[VALOR INICIAL DEL CONTRATO CON IVA]]+Tabla1513[[#This Row],[VALOR DE LAS ADICIONES CON IVA]]</f>
        <v>52054002</v>
      </c>
      <c r="S77" s="48">
        <v>1096</v>
      </c>
      <c r="T77" s="56" t="s">
        <v>318</v>
      </c>
      <c r="U77" s="58"/>
      <c r="V77" s="56" t="s">
        <v>318</v>
      </c>
      <c r="W77" s="70">
        <v>45296</v>
      </c>
      <c r="X77" s="70">
        <v>46392</v>
      </c>
      <c r="Y77" s="71">
        <v>46392</v>
      </c>
      <c r="Z77" s="72" t="s">
        <v>319</v>
      </c>
      <c r="AA77" s="60"/>
      <c r="AB77" s="56"/>
      <c r="AC77" s="56" t="s">
        <v>1252</v>
      </c>
      <c r="AD77" s="34">
        <v>0.36</v>
      </c>
      <c r="AE77" s="34">
        <v>0.11</v>
      </c>
      <c r="AF77" s="35">
        <v>5526003</v>
      </c>
      <c r="AG77" s="90" t="s">
        <v>720</v>
      </c>
      <c r="AH77" s="63">
        <v>2024</v>
      </c>
    </row>
    <row r="78" spans="1:34" ht="29" x14ac:dyDescent="0.35">
      <c r="A78" s="55" t="s">
        <v>330</v>
      </c>
      <c r="B78" s="2" t="s">
        <v>4</v>
      </c>
      <c r="C78" s="30" t="s">
        <v>579</v>
      </c>
      <c r="D78" s="2" t="s">
        <v>313</v>
      </c>
      <c r="E78" s="96" t="s">
        <v>721</v>
      </c>
      <c r="F78" s="70">
        <v>45308</v>
      </c>
      <c r="G78" s="30" t="s">
        <v>150</v>
      </c>
      <c r="H78" s="94" t="s">
        <v>722</v>
      </c>
      <c r="I78" s="101">
        <v>222274251</v>
      </c>
      <c r="J78" s="101">
        <v>42232108</v>
      </c>
      <c r="K78" s="47">
        <v>264506359</v>
      </c>
      <c r="L78" s="77" t="s">
        <v>84</v>
      </c>
      <c r="M78" s="54">
        <v>830017209</v>
      </c>
      <c r="N78" s="30" t="s">
        <v>120</v>
      </c>
      <c r="O78" s="2" t="s">
        <v>723</v>
      </c>
      <c r="P78" s="56" t="s">
        <v>318</v>
      </c>
      <c r="Q78" s="3"/>
      <c r="R78" s="32">
        <f>+Tabla1513[[#This Row],[VALOR INICIAL DEL CONTRATO CON IVA]]+Tabla1513[[#This Row],[VALOR DE LAS ADICIONES CON IVA]]</f>
        <v>264506359</v>
      </c>
      <c r="S78" s="48">
        <v>731</v>
      </c>
      <c r="T78" s="56" t="s">
        <v>318</v>
      </c>
      <c r="U78" s="58"/>
      <c r="V78" s="56" t="s">
        <v>318</v>
      </c>
      <c r="W78" s="70">
        <v>45308</v>
      </c>
      <c r="X78" s="70">
        <v>46039</v>
      </c>
      <c r="Y78" s="71">
        <v>46039</v>
      </c>
      <c r="Z78" s="72" t="s">
        <v>319</v>
      </c>
      <c r="AA78" s="60"/>
      <c r="AB78" s="56"/>
      <c r="AC78" s="56" t="s">
        <v>724</v>
      </c>
      <c r="AD78" s="34">
        <v>0.5</v>
      </c>
      <c r="AE78" s="34">
        <v>0.46</v>
      </c>
      <c r="AF78" s="35">
        <v>123605300</v>
      </c>
      <c r="AG78" s="90"/>
      <c r="AH78" s="63">
        <v>2024</v>
      </c>
    </row>
    <row r="79" spans="1:34" ht="29" x14ac:dyDescent="0.35">
      <c r="A79" s="55" t="s">
        <v>330</v>
      </c>
      <c r="B79" s="2" t="s">
        <v>11</v>
      </c>
      <c r="C79" s="30" t="s">
        <v>19</v>
      </c>
      <c r="D79" s="2" t="s">
        <v>313</v>
      </c>
      <c r="E79" s="96" t="s">
        <v>726</v>
      </c>
      <c r="F79" s="70">
        <v>45309</v>
      </c>
      <c r="G79" s="30" t="s">
        <v>150</v>
      </c>
      <c r="H79" s="94" t="s">
        <v>727</v>
      </c>
      <c r="I79" s="101">
        <v>14142495</v>
      </c>
      <c r="J79" s="101">
        <v>2687074</v>
      </c>
      <c r="K79" s="47">
        <v>16829569</v>
      </c>
      <c r="L79" s="77" t="s">
        <v>84</v>
      </c>
      <c r="M79" s="54">
        <v>900455314</v>
      </c>
      <c r="N79" s="30" t="s">
        <v>111</v>
      </c>
      <c r="O79" s="2" t="s">
        <v>728</v>
      </c>
      <c r="P79" s="56" t="s">
        <v>318</v>
      </c>
      <c r="Q79" s="3"/>
      <c r="R79" s="32">
        <f>+Tabla1513[[#This Row],[VALOR INICIAL DEL CONTRATO CON IVA]]+Tabla1513[[#This Row],[VALOR DE LAS ADICIONES CON IVA]]</f>
        <v>16829569</v>
      </c>
      <c r="S79" s="48">
        <v>1078</v>
      </c>
      <c r="T79" s="56" t="s">
        <v>318</v>
      </c>
      <c r="U79" s="58"/>
      <c r="V79" s="56" t="s">
        <v>318</v>
      </c>
      <c r="W79" s="70">
        <v>45309</v>
      </c>
      <c r="X79" s="70">
        <v>46387</v>
      </c>
      <c r="Y79" s="71">
        <v>46387</v>
      </c>
      <c r="Z79" s="72" t="s">
        <v>319</v>
      </c>
      <c r="AA79" s="60"/>
      <c r="AB79" s="56"/>
      <c r="AC79" s="56" t="s">
        <v>729</v>
      </c>
      <c r="AD79" s="34">
        <v>0.32</v>
      </c>
      <c r="AE79" s="34">
        <v>0.26</v>
      </c>
      <c r="AF79" s="35">
        <v>4400000</v>
      </c>
      <c r="AG79" s="90" t="s">
        <v>730</v>
      </c>
      <c r="AH79" s="63">
        <v>2024</v>
      </c>
    </row>
    <row r="80" spans="1:34" ht="58" x14ac:dyDescent="0.35">
      <c r="A80" s="55" t="s">
        <v>330</v>
      </c>
      <c r="B80" s="2" t="s">
        <v>31</v>
      </c>
      <c r="C80" s="30" t="s">
        <v>36</v>
      </c>
      <c r="D80" s="2" t="s">
        <v>313</v>
      </c>
      <c r="E80" s="96" t="s">
        <v>738</v>
      </c>
      <c r="F80" s="70">
        <v>45356</v>
      </c>
      <c r="G80" s="30" t="s">
        <v>150</v>
      </c>
      <c r="H80" s="94" t="s">
        <v>739</v>
      </c>
      <c r="I80" s="101">
        <v>42051600</v>
      </c>
      <c r="J80" s="101">
        <v>7989804</v>
      </c>
      <c r="K80" s="47">
        <v>50041404</v>
      </c>
      <c r="L80" s="77" t="s">
        <v>84</v>
      </c>
      <c r="M80" s="54">
        <v>899999115</v>
      </c>
      <c r="N80" s="30" t="s">
        <v>120</v>
      </c>
      <c r="O80" s="2" t="s">
        <v>740</v>
      </c>
      <c r="P80" s="56" t="s">
        <v>318</v>
      </c>
      <c r="Q80" s="3"/>
      <c r="R80" s="32">
        <f>+Tabla1513[[#This Row],[VALOR INICIAL DEL CONTRATO CON IVA]]+Tabla1513[[#This Row],[VALOR DE LAS ADICIONES CON IVA]]</f>
        <v>50041404</v>
      </c>
      <c r="S80" s="48">
        <v>1094</v>
      </c>
      <c r="T80" s="56" t="s">
        <v>318</v>
      </c>
      <c r="U80" s="58"/>
      <c r="V80" s="56" t="s">
        <v>318</v>
      </c>
      <c r="W80" s="70">
        <v>45411</v>
      </c>
      <c r="X80" s="70">
        <v>46505</v>
      </c>
      <c r="Y80" s="71">
        <v>46505</v>
      </c>
      <c r="Z80" s="72" t="s">
        <v>319</v>
      </c>
      <c r="AA80" s="60"/>
      <c r="AB80" s="56"/>
      <c r="AC80" s="1" t="s">
        <v>1248</v>
      </c>
      <c r="AD80" s="34">
        <v>0.22</v>
      </c>
      <c r="AE80" s="34">
        <v>0</v>
      </c>
      <c r="AF80" s="35">
        <v>0</v>
      </c>
      <c r="AG80" s="90" t="s">
        <v>741</v>
      </c>
      <c r="AH80" s="63">
        <v>2024</v>
      </c>
    </row>
    <row r="81" spans="1:34" ht="29" x14ac:dyDescent="0.35">
      <c r="A81" s="55" t="s">
        <v>330</v>
      </c>
      <c r="B81" s="2" t="s">
        <v>11</v>
      </c>
      <c r="C81" s="30" t="s">
        <v>19</v>
      </c>
      <c r="D81" s="2" t="s">
        <v>714</v>
      </c>
      <c r="E81" s="96" t="s">
        <v>744</v>
      </c>
      <c r="F81" s="70">
        <v>45351</v>
      </c>
      <c r="G81" s="30" t="s">
        <v>150</v>
      </c>
      <c r="H81" s="94" t="s">
        <v>745</v>
      </c>
      <c r="I81" s="101">
        <v>1125126</v>
      </c>
      <c r="J81" s="101">
        <v>213774</v>
      </c>
      <c r="K81" s="47">
        <v>1338900</v>
      </c>
      <c r="L81" s="77" t="s">
        <v>84</v>
      </c>
      <c r="M81" s="54">
        <v>901017183</v>
      </c>
      <c r="N81" s="30" t="s">
        <v>97</v>
      </c>
      <c r="O81" s="2" t="s">
        <v>539</v>
      </c>
      <c r="P81" s="56" t="s">
        <v>318</v>
      </c>
      <c r="Q81" s="3"/>
      <c r="R81" s="32">
        <f>+Tabla1513[[#This Row],[VALOR INICIAL DEL CONTRATO CON IVA]]+Tabla1513[[#This Row],[VALOR DE LAS ADICIONES CON IVA]]</f>
        <v>1338900</v>
      </c>
      <c r="S81" s="48">
        <v>730</v>
      </c>
      <c r="T81" s="56" t="s">
        <v>318</v>
      </c>
      <c r="U81" s="58"/>
      <c r="V81" s="56" t="s">
        <v>318</v>
      </c>
      <c r="W81" s="70">
        <v>45351</v>
      </c>
      <c r="X81" s="70">
        <v>46081</v>
      </c>
      <c r="Y81" s="71">
        <v>46081</v>
      </c>
      <c r="Z81" s="72" t="s">
        <v>319</v>
      </c>
      <c r="AA81" s="60"/>
      <c r="AB81" s="56"/>
      <c r="AC81" s="56" t="s">
        <v>535</v>
      </c>
      <c r="AD81" s="34">
        <v>0.42</v>
      </c>
      <c r="AE81" s="34">
        <v>1</v>
      </c>
      <c r="AF81" s="35">
        <v>1338900</v>
      </c>
      <c r="AG81" s="90" t="s">
        <v>746</v>
      </c>
      <c r="AH81" s="63">
        <v>2024</v>
      </c>
    </row>
    <row r="82" spans="1:34" ht="58" x14ac:dyDescent="0.35">
      <c r="A82" s="55" t="s">
        <v>330</v>
      </c>
      <c r="B82" s="2" t="s">
        <v>31</v>
      </c>
      <c r="C82" s="30" t="s">
        <v>36</v>
      </c>
      <c r="D82" s="30" t="s">
        <v>362</v>
      </c>
      <c r="E82" s="96" t="s">
        <v>747</v>
      </c>
      <c r="F82" s="70">
        <v>45366</v>
      </c>
      <c r="G82" s="30" t="s">
        <v>150</v>
      </c>
      <c r="H82" s="94" t="s">
        <v>748</v>
      </c>
      <c r="I82" s="101">
        <v>247675507.56</v>
      </c>
      <c r="J82" s="101">
        <v>47058346.436400004</v>
      </c>
      <c r="K82" s="47">
        <v>294733854</v>
      </c>
      <c r="L82" s="77" t="s">
        <v>84</v>
      </c>
      <c r="M82" s="54">
        <v>800079939</v>
      </c>
      <c r="N82" s="30" t="s">
        <v>97</v>
      </c>
      <c r="O82" s="2" t="s">
        <v>749</v>
      </c>
      <c r="P82" s="56" t="s">
        <v>317</v>
      </c>
      <c r="Q82" s="3">
        <v>43232700</v>
      </c>
      <c r="R82" s="32">
        <f>+Tabla1513[[#This Row],[VALOR INICIAL DEL CONTRATO CON IVA]]+Tabla1513[[#This Row],[VALOR DE LAS ADICIONES CON IVA]]</f>
        <v>337966554</v>
      </c>
      <c r="S82" s="48">
        <v>1094</v>
      </c>
      <c r="T82" s="56" t="s">
        <v>318</v>
      </c>
      <c r="U82" s="58"/>
      <c r="V82" s="56" t="s">
        <v>318</v>
      </c>
      <c r="W82" s="70">
        <v>45407</v>
      </c>
      <c r="X82" s="70">
        <v>46501</v>
      </c>
      <c r="Y82" s="71">
        <v>46501</v>
      </c>
      <c r="Z82" s="72" t="s">
        <v>319</v>
      </c>
      <c r="AA82" s="60"/>
      <c r="AB82" s="56"/>
      <c r="AC82" s="56" t="s">
        <v>1251</v>
      </c>
      <c r="AD82" s="34">
        <v>0.22</v>
      </c>
      <c r="AE82" s="34">
        <v>0.54</v>
      </c>
      <c r="AF82" s="35">
        <v>183690502</v>
      </c>
      <c r="AG82" s="90" t="s">
        <v>750</v>
      </c>
      <c r="AH82" s="63">
        <v>2024</v>
      </c>
    </row>
    <row r="83" spans="1:34" ht="29" x14ac:dyDescent="0.35">
      <c r="A83" s="55" t="s">
        <v>330</v>
      </c>
      <c r="B83" s="2" t="s">
        <v>11</v>
      </c>
      <c r="C83" s="30" t="s">
        <v>12</v>
      </c>
      <c r="D83" s="2" t="s">
        <v>313</v>
      </c>
      <c r="E83" s="96" t="s">
        <v>751</v>
      </c>
      <c r="F83" s="70">
        <v>45369</v>
      </c>
      <c r="G83" s="30" t="s">
        <v>150</v>
      </c>
      <c r="H83" s="94" t="s">
        <v>752</v>
      </c>
      <c r="I83" s="78">
        <v>1605906000</v>
      </c>
      <c r="J83" s="111">
        <v>0</v>
      </c>
      <c r="K83" s="47">
        <v>1605906000</v>
      </c>
      <c r="L83" s="77" t="s">
        <v>84</v>
      </c>
      <c r="M83" s="54">
        <v>860069265</v>
      </c>
      <c r="N83" s="30" t="s">
        <v>97</v>
      </c>
      <c r="O83" s="2" t="s">
        <v>753</v>
      </c>
      <c r="P83" s="56" t="s">
        <v>318</v>
      </c>
      <c r="Q83" s="3"/>
      <c r="R83" s="32">
        <f>+Tabla1513[[#This Row],[VALOR INICIAL DEL CONTRATO CON IVA]]+Tabla1513[[#This Row],[VALOR DE LAS ADICIONES CON IVA]]</f>
        <v>1605906000</v>
      </c>
      <c r="S83" s="48">
        <v>1096</v>
      </c>
      <c r="T83" s="56" t="s">
        <v>318</v>
      </c>
      <c r="U83" s="58"/>
      <c r="V83" s="56" t="s">
        <v>318</v>
      </c>
      <c r="W83" s="70">
        <v>45407</v>
      </c>
      <c r="X83" s="70">
        <v>46503</v>
      </c>
      <c r="Y83" s="71">
        <v>46503</v>
      </c>
      <c r="Z83" s="72" t="s">
        <v>319</v>
      </c>
      <c r="AA83" s="60"/>
      <c r="AB83" s="56"/>
      <c r="AC83" s="56" t="s">
        <v>312</v>
      </c>
      <c r="AD83" s="34">
        <v>0.23</v>
      </c>
      <c r="AE83" s="34">
        <v>0</v>
      </c>
      <c r="AF83" s="35">
        <v>0</v>
      </c>
      <c r="AG83" s="90" t="s">
        <v>754</v>
      </c>
      <c r="AH83" s="63">
        <v>2024</v>
      </c>
    </row>
    <row r="84" spans="1:34" ht="29" x14ac:dyDescent="0.35">
      <c r="A84" s="55" t="s">
        <v>330</v>
      </c>
      <c r="B84" s="2" t="s">
        <v>4</v>
      </c>
      <c r="C84" s="30" t="s">
        <v>579</v>
      </c>
      <c r="D84" s="2" t="s">
        <v>313</v>
      </c>
      <c r="E84" s="96" t="s">
        <v>767</v>
      </c>
      <c r="F84" s="70">
        <v>45407</v>
      </c>
      <c r="G84" s="30" t="s">
        <v>150</v>
      </c>
      <c r="H84" s="94" t="s">
        <v>768</v>
      </c>
      <c r="I84" s="111">
        <v>162996228</v>
      </c>
      <c r="J84" s="111">
        <v>30969283</v>
      </c>
      <c r="K84" s="3">
        <v>193965511</v>
      </c>
      <c r="L84" s="77" t="s">
        <v>84</v>
      </c>
      <c r="M84" s="54">
        <v>1716369</v>
      </c>
      <c r="N84" s="30"/>
      <c r="O84" s="2" t="s">
        <v>565</v>
      </c>
      <c r="P84" s="56" t="s">
        <v>317</v>
      </c>
      <c r="Q84" s="3">
        <v>70686000</v>
      </c>
      <c r="R84" s="32">
        <f>+Tabla1513[[#This Row],[VALOR INICIAL DEL CONTRATO CON IVA]]+Tabla1513[[#This Row],[VALOR DE LAS ADICIONES CON IVA]]</f>
        <v>264651511</v>
      </c>
      <c r="S84" s="48">
        <v>365</v>
      </c>
      <c r="T84" s="56" t="s">
        <v>317</v>
      </c>
      <c r="U84" s="58">
        <f>+Tabla1513[[#This Row],[FECHA FINAL DEL CONTRATO]]-Tabla1513[[#This Row],[FECHA TERMINACIÓN INICIAL CONTRATO]]</f>
        <v>464</v>
      </c>
      <c r="V84" s="56" t="s">
        <v>318</v>
      </c>
      <c r="W84" s="70">
        <v>45407</v>
      </c>
      <c r="X84" s="70">
        <v>45772</v>
      </c>
      <c r="Y84" s="71">
        <v>46236</v>
      </c>
      <c r="Z84" s="72" t="s">
        <v>319</v>
      </c>
      <c r="AA84" s="60"/>
      <c r="AB84" s="56" t="s">
        <v>406</v>
      </c>
      <c r="AC84" s="56" t="s">
        <v>424</v>
      </c>
      <c r="AD84" s="34">
        <v>0.5</v>
      </c>
      <c r="AE84" s="34">
        <v>0.66</v>
      </c>
      <c r="AF84" s="35">
        <v>94013104</v>
      </c>
      <c r="AG84" s="90" t="s">
        <v>769</v>
      </c>
      <c r="AH84" s="63">
        <v>2024</v>
      </c>
    </row>
    <row r="85" spans="1:34" ht="58" x14ac:dyDescent="0.35">
      <c r="A85" s="55" t="s">
        <v>330</v>
      </c>
      <c r="B85" s="2" t="s">
        <v>31</v>
      </c>
      <c r="C85" s="30" t="s">
        <v>36</v>
      </c>
      <c r="D85" s="30" t="s">
        <v>362</v>
      </c>
      <c r="E85" s="96" t="s">
        <v>771</v>
      </c>
      <c r="F85" s="70">
        <v>45412</v>
      </c>
      <c r="G85" s="30" t="s">
        <v>150</v>
      </c>
      <c r="H85" s="94" t="s">
        <v>772</v>
      </c>
      <c r="I85" s="101">
        <v>424809090.75630254</v>
      </c>
      <c r="J85" s="101">
        <v>80713727.243697479</v>
      </c>
      <c r="K85" s="3">
        <v>505522818</v>
      </c>
      <c r="L85" s="77" t="s">
        <v>84</v>
      </c>
      <c r="M85" s="54">
        <v>900374230</v>
      </c>
      <c r="N85" s="30" t="s">
        <v>117</v>
      </c>
      <c r="O85" s="2" t="s">
        <v>773</v>
      </c>
      <c r="P85" s="56" t="s">
        <v>318</v>
      </c>
      <c r="Q85" s="3"/>
      <c r="R85" s="32">
        <f>+Tabla1513[[#This Row],[VALOR INICIAL DEL CONTRATO CON IVA]]+Tabla1513[[#This Row],[VALOR DE LAS ADICIONES CON IVA]]</f>
        <v>505522818</v>
      </c>
      <c r="S85" s="48">
        <v>729</v>
      </c>
      <c r="T85" s="56" t="s">
        <v>318</v>
      </c>
      <c r="U85" s="58"/>
      <c r="V85" s="56" t="s">
        <v>318</v>
      </c>
      <c r="W85" s="70">
        <v>45412</v>
      </c>
      <c r="X85" s="70">
        <v>46141</v>
      </c>
      <c r="Y85" s="71">
        <v>46141</v>
      </c>
      <c r="Z85" s="72" t="s">
        <v>319</v>
      </c>
      <c r="AA85" s="60"/>
      <c r="AB85" s="56"/>
      <c r="AC85" s="56" t="s">
        <v>1092</v>
      </c>
      <c r="AD85" s="34">
        <v>0.33300000000000002</v>
      </c>
      <c r="AE85" s="34">
        <v>0.432</v>
      </c>
      <c r="AF85" s="35">
        <v>218586006</v>
      </c>
      <c r="AG85" s="90" t="s">
        <v>774</v>
      </c>
      <c r="AH85" s="63">
        <v>2024</v>
      </c>
    </row>
    <row r="86" spans="1:34" ht="43.5" x14ac:dyDescent="0.35">
      <c r="A86" s="55" t="s">
        <v>330</v>
      </c>
      <c r="B86" s="2" t="s">
        <v>410</v>
      </c>
      <c r="C86" s="30" t="s">
        <v>68</v>
      </c>
      <c r="D86" s="2" t="s">
        <v>412</v>
      </c>
      <c r="E86" s="96" t="s">
        <v>787</v>
      </c>
      <c r="F86" s="70">
        <v>45432</v>
      </c>
      <c r="G86" s="30" t="s">
        <v>150</v>
      </c>
      <c r="H86" s="94" t="s">
        <v>788</v>
      </c>
      <c r="I86" s="112">
        <v>61891460462</v>
      </c>
      <c r="J86" s="111">
        <v>11759377487</v>
      </c>
      <c r="K86" s="3">
        <v>73650837949</v>
      </c>
      <c r="L86" s="77" t="s">
        <v>84</v>
      </c>
      <c r="M86" s="54">
        <v>901829024</v>
      </c>
      <c r="N86" s="30" t="s">
        <v>108</v>
      </c>
      <c r="O86" s="2" t="s">
        <v>789</v>
      </c>
      <c r="P86" s="56" t="s">
        <v>318</v>
      </c>
      <c r="Q86" s="3"/>
      <c r="R86" s="32">
        <f>+Tabla1513[[#This Row],[VALOR INICIAL DEL CONTRATO CON IVA]]+Tabla1513[[#This Row],[VALOR DE LAS ADICIONES CON IVA]]</f>
        <v>73650837949</v>
      </c>
      <c r="S86" s="48">
        <v>729</v>
      </c>
      <c r="T86" s="56" t="s">
        <v>318</v>
      </c>
      <c r="U86" s="58"/>
      <c r="V86" s="56" t="s">
        <v>318</v>
      </c>
      <c r="W86" s="70">
        <v>45444</v>
      </c>
      <c r="X86" s="70">
        <v>46173</v>
      </c>
      <c r="Y86" s="71">
        <v>46173</v>
      </c>
      <c r="Z86" s="72" t="s">
        <v>319</v>
      </c>
      <c r="AA86" s="60"/>
      <c r="AB86" s="56"/>
      <c r="AC86" s="56" t="s">
        <v>653</v>
      </c>
      <c r="AD86" s="34" t="s">
        <v>790</v>
      </c>
      <c r="AE86" s="34" t="s">
        <v>791</v>
      </c>
      <c r="AF86" s="35">
        <v>14812567652.889999</v>
      </c>
      <c r="AG86" s="36" t="s">
        <v>792</v>
      </c>
      <c r="AH86" s="63">
        <v>2024</v>
      </c>
    </row>
    <row r="87" spans="1:34" ht="29" x14ac:dyDescent="0.35">
      <c r="A87" s="55" t="s">
        <v>330</v>
      </c>
      <c r="B87" s="2" t="s">
        <v>11</v>
      </c>
      <c r="C87" s="30" t="s">
        <v>12</v>
      </c>
      <c r="D87" s="2" t="s">
        <v>412</v>
      </c>
      <c r="E87" s="96" t="s">
        <v>795</v>
      </c>
      <c r="F87" s="70">
        <v>45443</v>
      </c>
      <c r="G87" s="30" t="s">
        <v>150</v>
      </c>
      <c r="H87" s="94" t="s">
        <v>796</v>
      </c>
      <c r="I87" s="112">
        <v>9234023203</v>
      </c>
      <c r="J87" s="111">
        <v>175446441</v>
      </c>
      <c r="K87" s="3">
        <v>9409469644</v>
      </c>
      <c r="L87" s="77" t="s">
        <v>84</v>
      </c>
      <c r="M87" s="54">
        <v>900959987</v>
      </c>
      <c r="N87" s="30" t="s">
        <v>111</v>
      </c>
      <c r="O87" s="2" t="s">
        <v>797</v>
      </c>
      <c r="P87" s="56" t="s">
        <v>317</v>
      </c>
      <c r="Q87" s="3">
        <v>9619039353</v>
      </c>
      <c r="R87" s="32">
        <f>+Tabla1513[[#This Row],[VALOR INICIAL DEL CONTRATO CON IVA]]+Tabla1513[[#This Row],[VALOR DE LAS ADICIONES CON IVA]]</f>
        <v>19028508997</v>
      </c>
      <c r="S87" s="48">
        <v>360</v>
      </c>
      <c r="T87" s="56" t="s">
        <v>317</v>
      </c>
      <c r="U87" s="58">
        <f>+Tabla1513[[#This Row],[FECHA FINAL DEL CONTRATO]]-Tabla1513[[#This Row],[FECHA TERMINACIÓN INICIAL CONTRATO]]</f>
        <v>366</v>
      </c>
      <c r="V87" s="56" t="s">
        <v>318</v>
      </c>
      <c r="W87" s="70">
        <v>45447</v>
      </c>
      <c r="X87" s="70">
        <v>45807</v>
      </c>
      <c r="Y87" s="71">
        <v>46173</v>
      </c>
      <c r="Z87" s="72" t="s">
        <v>319</v>
      </c>
      <c r="AA87" s="60"/>
      <c r="AB87" s="56"/>
      <c r="AC87" s="56" t="s">
        <v>567</v>
      </c>
      <c r="AD87" s="34">
        <v>0.58330000000000004</v>
      </c>
      <c r="AE87" s="34">
        <v>0.61899999999999999</v>
      </c>
      <c r="AF87" s="35">
        <v>5824715314</v>
      </c>
      <c r="AG87" s="36" t="s">
        <v>798</v>
      </c>
      <c r="AH87" s="63">
        <v>2024</v>
      </c>
    </row>
    <row r="88" spans="1:34" ht="29" x14ac:dyDescent="0.35">
      <c r="A88" s="55" t="s">
        <v>330</v>
      </c>
      <c r="B88" s="2" t="s">
        <v>410</v>
      </c>
      <c r="C88" s="30" t="s">
        <v>73</v>
      </c>
      <c r="D88" s="2" t="s">
        <v>313</v>
      </c>
      <c r="E88" s="96" t="s">
        <v>801</v>
      </c>
      <c r="F88" s="70">
        <v>45455</v>
      </c>
      <c r="G88" s="30" t="s">
        <v>150</v>
      </c>
      <c r="H88" s="94" t="s">
        <v>802</v>
      </c>
      <c r="I88" s="101">
        <v>71512605</v>
      </c>
      <c r="J88" s="101">
        <v>13587395</v>
      </c>
      <c r="K88" s="3">
        <v>85100000</v>
      </c>
      <c r="L88" s="77" t="s">
        <v>84</v>
      </c>
      <c r="M88" s="54">
        <v>901147699</v>
      </c>
      <c r="N88" s="30" t="s">
        <v>120</v>
      </c>
      <c r="O88" s="2" t="s">
        <v>803</v>
      </c>
      <c r="P88" s="56" t="s">
        <v>318</v>
      </c>
      <c r="Q88" s="3"/>
      <c r="R88" s="32">
        <f>+Tabla1513[[#This Row],[VALOR INICIAL DEL CONTRATO CON IVA]]+Tabla1513[[#This Row],[VALOR DE LAS ADICIONES CON IVA]]</f>
        <v>85100000</v>
      </c>
      <c r="S88" s="48">
        <v>541</v>
      </c>
      <c r="T88" s="56" t="s">
        <v>318</v>
      </c>
      <c r="U88" s="58"/>
      <c r="V88" s="56" t="s">
        <v>318</v>
      </c>
      <c r="W88" s="70">
        <v>45481</v>
      </c>
      <c r="X88" s="70">
        <v>46022</v>
      </c>
      <c r="Y88" s="71">
        <v>46022</v>
      </c>
      <c r="Z88" s="72" t="s">
        <v>319</v>
      </c>
      <c r="AA88" s="60"/>
      <c r="AB88" s="56"/>
      <c r="AC88" s="56" t="s">
        <v>804</v>
      </c>
      <c r="AD88" s="34">
        <v>0.22220000000000001</v>
      </c>
      <c r="AE88" s="34">
        <v>0.22220000000000001</v>
      </c>
      <c r="AF88" s="35">
        <v>18909100</v>
      </c>
      <c r="AG88" s="36" t="s">
        <v>805</v>
      </c>
      <c r="AH88" s="63">
        <v>2024</v>
      </c>
    </row>
    <row r="89" spans="1:34" s="1" customFormat="1" ht="29" x14ac:dyDescent="0.35">
      <c r="A89" s="103" t="s">
        <v>330</v>
      </c>
      <c r="B89" s="1" t="s">
        <v>410</v>
      </c>
      <c r="C89" s="30" t="s">
        <v>66</v>
      </c>
      <c r="D89" s="2" t="s">
        <v>313</v>
      </c>
      <c r="E89" s="116" t="s">
        <v>810</v>
      </c>
      <c r="F89" s="113">
        <v>45470</v>
      </c>
      <c r="G89" s="30" t="s">
        <v>150</v>
      </c>
      <c r="H89" s="94" t="s">
        <v>1192</v>
      </c>
      <c r="I89" s="78">
        <v>2191320000</v>
      </c>
      <c r="J89" s="117">
        <v>0</v>
      </c>
      <c r="K89" s="3">
        <v>2191320000</v>
      </c>
      <c r="L89" s="77" t="s">
        <v>84</v>
      </c>
      <c r="M89" s="67">
        <v>770223411</v>
      </c>
      <c r="N89" s="37"/>
      <c r="O89" s="2" t="s">
        <v>811</v>
      </c>
      <c r="P89" s="107" t="s">
        <v>318</v>
      </c>
      <c r="Q89" s="39"/>
      <c r="R89" s="32">
        <f>+Tabla1513[[#This Row],[VALOR INICIAL DEL CONTRATO CON IVA]]+Tabla1513[[#This Row],[VALOR DE LAS ADICIONES CON IVA]]</f>
        <v>2191320000</v>
      </c>
      <c r="S89" s="5">
        <v>1095</v>
      </c>
      <c r="T89" s="107" t="s">
        <v>318</v>
      </c>
      <c r="U89" s="109"/>
      <c r="V89" s="56" t="s">
        <v>318</v>
      </c>
      <c r="W89" s="113">
        <v>45474</v>
      </c>
      <c r="X89" s="113">
        <v>46568</v>
      </c>
      <c r="Y89" s="114">
        <v>46568</v>
      </c>
      <c r="Z89" s="115" t="s">
        <v>319</v>
      </c>
      <c r="AA89" s="105"/>
      <c r="AB89" s="56"/>
      <c r="AC89" s="56" t="s">
        <v>477</v>
      </c>
      <c r="AD89" s="27">
        <v>0.16719999999999999</v>
      </c>
      <c r="AE89" s="27">
        <v>0.308</v>
      </c>
      <c r="AF89" s="41">
        <v>714409875</v>
      </c>
      <c r="AG89" s="42" t="s">
        <v>812</v>
      </c>
      <c r="AH89" s="68">
        <v>2024</v>
      </c>
    </row>
    <row r="90" spans="1:34" ht="43.5" x14ac:dyDescent="0.35">
      <c r="A90" s="55" t="s">
        <v>330</v>
      </c>
      <c r="B90" s="2" t="s">
        <v>11</v>
      </c>
      <c r="C90" s="30" t="s">
        <v>19</v>
      </c>
      <c r="D90" s="2" t="s">
        <v>412</v>
      </c>
      <c r="E90" s="96" t="s">
        <v>814</v>
      </c>
      <c r="F90" s="70">
        <v>45477</v>
      </c>
      <c r="G90" s="30" t="s">
        <v>475</v>
      </c>
      <c r="H90" s="94" t="s">
        <v>815</v>
      </c>
      <c r="I90" s="32">
        <v>6416157432</v>
      </c>
      <c r="J90" s="32">
        <v>110824528</v>
      </c>
      <c r="K90" s="3">
        <v>6526981960</v>
      </c>
      <c r="L90" s="77" t="s">
        <v>84</v>
      </c>
      <c r="M90" s="54">
        <v>804016472</v>
      </c>
      <c r="N90" s="30" t="s">
        <v>91</v>
      </c>
      <c r="O90" s="2" t="s">
        <v>816</v>
      </c>
      <c r="P90" s="56" t="s">
        <v>318</v>
      </c>
      <c r="Q90" s="3"/>
      <c r="R90" s="32">
        <f>+Tabla1513[[#This Row],[VALOR INICIAL DEL CONTRATO CON IVA]]+Tabla1513[[#This Row],[VALOR DE LAS ADICIONES CON IVA]]</f>
        <v>6526981960</v>
      </c>
      <c r="S90" s="48">
        <v>1094</v>
      </c>
      <c r="T90" s="56" t="s">
        <v>318</v>
      </c>
      <c r="U90" s="58"/>
      <c r="V90" s="56" t="s">
        <v>318</v>
      </c>
      <c r="W90" s="70">
        <v>45478</v>
      </c>
      <c r="X90" s="70">
        <v>46572</v>
      </c>
      <c r="Y90" s="71">
        <v>46572</v>
      </c>
      <c r="Z90" s="72" t="s">
        <v>319</v>
      </c>
      <c r="AA90" s="60"/>
      <c r="AB90" s="56"/>
      <c r="AC90" s="56" t="s">
        <v>688</v>
      </c>
      <c r="AD90" s="34">
        <v>0.16</v>
      </c>
      <c r="AE90" s="34">
        <v>0.14000000000000001</v>
      </c>
      <c r="AF90" s="35">
        <v>941632906</v>
      </c>
      <c r="AG90" s="36" t="s">
        <v>817</v>
      </c>
      <c r="AH90" s="63">
        <v>2024</v>
      </c>
    </row>
    <row r="91" spans="1:34" ht="58" x14ac:dyDescent="0.35">
      <c r="A91" s="55" t="s">
        <v>330</v>
      </c>
      <c r="B91" s="2" t="s">
        <v>473</v>
      </c>
      <c r="C91" s="30" t="s">
        <v>825</v>
      </c>
      <c r="D91" s="2" t="s">
        <v>313</v>
      </c>
      <c r="E91" s="96" t="s">
        <v>826</v>
      </c>
      <c r="F91" s="70">
        <v>45560</v>
      </c>
      <c r="G91" s="30" t="s">
        <v>150</v>
      </c>
      <c r="H91" s="94" t="s">
        <v>827</v>
      </c>
      <c r="I91" s="112">
        <v>313470000</v>
      </c>
      <c r="J91" s="111">
        <v>58609300</v>
      </c>
      <c r="K91" s="3">
        <v>372079300</v>
      </c>
      <c r="L91" s="77" t="s">
        <v>84</v>
      </c>
      <c r="M91" s="54">
        <v>900084759</v>
      </c>
      <c r="N91" s="30" t="s">
        <v>114</v>
      </c>
      <c r="O91" s="2" t="s">
        <v>828</v>
      </c>
      <c r="P91" s="56" t="s">
        <v>318</v>
      </c>
      <c r="Q91" s="3"/>
      <c r="R91" s="32">
        <f>+Tabla1513[[#This Row],[VALOR INICIAL DEL CONTRATO CON IVA]]+Tabla1513[[#This Row],[VALOR DE LAS ADICIONES CON IVA]]</f>
        <v>372079300</v>
      </c>
      <c r="S91" s="48">
        <v>172</v>
      </c>
      <c r="T91" s="56" t="s">
        <v>317</v>
      </c>
      <c r="U91" s="58">
        <v>365</v>
      </c>
      <c r="V91" s="59" t="s">
        <v>318</v>
      </c>
      <c r="W91" s="70">
        <v>45597</v>
      </c>
      <c r="X91" s="70">
        <v>45657</v>
      </c>
      <c r="Y91" s="71">
        <v>46022</v>
      </c>
      <c r="Z91" s="72" t="s">
        <v>319</v>
      </c>
      <c r="AA91" s="60"/>
      <c r="AB91" s="56"/>
      <c r="AC91" s="56" t="s">
        <v>829</v>
      </c>
      <c r="AD91" s="34">
        <v>1</v>
      </c>
      <c r="AE91" s="34">
        <v>2.64E-2</v>
      </c>
      <c r="AF91" s="35">
        <v>9365300</v>
      </c>
      <c r="AG91" s="36" t="s">
        <v>830</v>
      </c>
      <c r="AH91" s="63">
        <v>2024</v>
      </c>
    </row>
    <row r="92" spans="1:34" ht="43.5" x14ac:dyDescent="0.35">
      <c r="A92" s="55" t="s">
        <v>330</v>
      </c>
      <c r="B92" s="2" t="s">
        <v>31</v>
      </c>
      <c r="C92" s="30" t="s">
        <v>36</v>
      </c>
      <c r="D92" s="2" t="s">
        <v>362</v>
      </c>
      <c r="E92" s="96" t="s">
        <v>832</v>
      </c>
      <c r="F92" s="70">
        <v>45505</v>
      </c>
      <c r="G92" s="30" t="s">
        <v>150</v>
      </c>
      <c r="H92" s="94" t="s">
        <v>833</v>
      </c>
      <c r="I92" s="101">
        <v>276180000</v>
      </c>
      <c r="J92" s="101">
        <v>52474200</v>
      </c>
      <c r="K92" s="47">
        <v>328654200</v>
      </c>
      <c r="L92" s="77" t="s">
        <v>84</v>
      </c>
      <c r="M92" s="54">
        <v>900197910</v>
      </c>
      <c r="N92" s="30" t="s">
        <v>120</v>
      </c>
      <c r="O92" s="2" t="s">
        <v>834</v>
      </c>
      <c r="P92" s="56" t="s">
        <v>318</v>
      </c>
      <c r="Q92" s="3"/>
      <c r="R92" s="32">
        <f>+Tabla1513[[#This Row],[VALOR INICIAL DEL CONTRATO CON IVA]]+Tabla1513[[#This Row],[VALOR DE LAS ADICIONES CON IVA]]</f>
        <v>328654200</v>
      </c>
      <c r="S92" s="48">
        <v>730</v>
      </c>
      <c r="T92" s="56" t="s">
        <v>318</v>
      </c>
      <c r="U92" s="58"/>
      <c r="V92" s="56" t="s">
        <v>318</v>
      </c>
      <c r="W92" s="70">
        <v>45506</v>
      </c>
      <c r="X92" s="70">
        <v>46236</v>
      </c>
      <c r="Y92" s="71">
        <v>46236</v>
      </c>
      <c r="Z92" s="72" t="s">
        <v>319</v>
      </c>
      <c r="AA92" s="60"/>
      <c r="AB92" s="56"/>
      <c r="AC92" s="56" t="s">
        <v>558</v>
      </c>
      <c r="AD92" s="34">
        <v>0.20830000000000001</v>
      </c>
      <c r="AE92" s="34">
        <v>0.20830000000000001</v>
      </c>
      <c r="AF92" s="35">
        <v>68469625</v>
      </c>
      <c r="AG92" s="36" t="s">
        <v>835</v>
      </c>
      <c r="AH92" s="63">
        <v>2024</v>
      </c>
    </row>
    <row r="93" spans="1:34" ht="29" x14ac:dyDescent="0.35">
      <c r="A93" s="55" t="s">
        <v>330</v>
      </c>
      <c r="B93" s="2" t="s">
        <v>11</v>
      </c>
      <c r="C93" s="30" t="s">
        <v>476</v>
      </c>
      <c r="D93" s="2" t="s">
        <v>313</v>
      </c>
      <c r="E93" s="96" t="s">
        <v>836</v>
      </c>
      <c r="F93" s="70">
        <v>45502</v>
      </c>
      <c r="G93" s="30" t="s">
        <v>150</v>
      </c>
      <c r="H93" s="94" t="s">
        <v>837</v>
      </c>
      <c r="I93" s="101">
        <v>800000000</v>
      </c>
      <c r="J93" s="101">
        <v>152000000</v>
      </c>
      <c r="K93" s="47">
        <v>952000000</v>
      </c>
      <c r="L93" s="77" t="s">
        <v>84</v>
      </c>
      <c r="M93" s="54">
        <v>860600063</v>
      </c>
      <c r="N93" s="30" t="s">
        <v>123</v>
      </c>
      <c r="O93" s="2" t="s">
        <v>838</v>
      </c>
      <c r="P93" s="56" t="s">
        <v>318</v>
      </c>
      <c r="Q93" s="3"/>
      <c r="R93" s="32">
        <f>+Tabla1513[[#This Row],[VALOR INICIAL DEL CONTRATO CON IVA]]+Tabla1513[[#This Row],[VALOR DE LAS ADICIONES CON IVA]]</f>
        <v>952000000</v>
      </c>
      <c r="S93" s="48">
        <v>729</v>
      </c>
      <c r="T93" s="56" t="s">
        <v>318</v>
      </c>
      <c r="U93" s="58"/>
      <c r="V93" s="56" t="s">
        <v>318</v>
      </c>
      <c r="W93" s="70">
        <v>45509</v>
      </c>
      <c r="X93" s="70">
        <v>46238</v>
      </c>
      <c r="Y93" s="71">
        <v>46238</v>
      </c>
      <c r="Z93" s="72" t="s">
        <v>319</v>
      </c>
      <c r="AA93" s="60"/>
      <c r="AB93" s="56"/>
      <c r="AC93" s="56" t="s">
        <v>415</v>
      </c>
      <c r="AD93" s="34">
        <v>0.20300000000000001</v>
      </c>
      <c r="AE93" s="34">
        <v>0.20830000000000001</v>
      </c>
      <c r="AF93" s="35">
        <v>198333330</v>
      </c>
      <c r="AG93" s="36" t="s">
        <v>839</v>
      </c>
      <c r="AH93" s="63">
        <v>2024</v>
      </c>
    </row>
    <row r="94" spans="1:34" ht="29" x14ac:dyDescent="0.35">
      <c r="A94" s="55" t="s">
        <v>330</v>
      </c>
      <c r="B94" s="2" t="s">
        <v>310</v>
      </c>
      <c r="C94" s="30" t="s">
        <v>843</v>
      </c>
      <c r="D94" s="2" t="s">
        <v>412</v>
      </c>
      <c r="E94" s="96" t="s">
        <v>844</v>
      </c>
      <c r="F94" s="70">
        <v>45519</v>
      </c>
      <c r="G94" s="30" t="s">
        <v>150</v>
      </c>
      <c r="H94" s="94" t="s">
        <v>845</v>
      </c>
      <c r="I94" s="112">
        <v>2699020800</v>
      </c>
      <c r="J94" s="111">
        <v>0</v>
      </c>
      <c r="K94" s="33">
        <v>2699020800</v>
      </c>
      <c r="L94" s="77" t="s">
        <v>84</v>
      </c>
      <c r="M94" s="54">
        <v>900858967</v>
      </c>
      <c r="N94" s="30" t="s">
        <v>108</v>
      </c>
      <c r="O94" s="2" t="s">
        <v>846</v>
      </c>
      <c r="P94" s="56" t="s">
        <v>318</v>
      </c>
      <c r="Q94" s="3"/>
      <c r="R94" s="32">
        <f>+Tabla1513[[#This Row],[VALOR INICIAL DEL CONTRATO CON IVA]]+Tabla1513[[#This Row],[VALOR DE LAS ADICIONES CON IVA]]</f>
        <v>2699020800</v>
      </c>
      <c r="S94" s="48">
        <v>550</v>
      </c>
      <c r="T94" s="56" t="s">
        <v>318</v>
      </c>
      <c r="U94" s="58"/>
      <c r="V94" s="56" t="s">
        <v>318</v>
      </c>
      <c r="W94" s="70">
        <v>45520</v>
      </c>
      <c r="X94" s="70">
        <v>46070</v>
      </c>
      <c r="Y94" s="71">
        <v>46070</v>
      </c>
      <c r="Z94" s="72" t="s">
        <v>319</v>
      </c>
      <c r="AA94" s="60"/>
      <c r="AB94" s="56"/>
      <c r="AC94" s="56" t="s">
        <v>477</v>
      </c>
      <c r="AD94" s="34">
        <v>0.18770000000000001</v>
      </c>
      <c r="AE94" s="34">
        <v>0.45190000000000002</v>
      </c>
      <c r="AF94" s="35">
        <v>1219668235</v>
      </c>
      <c r="AG94" s="36" t="s">
        <v>847</v>
      </c>
      <c r="AH94" s="63">
        <v>2024</v>
      </c>
    </row>
    <row r="95" spans="1:34" ht="43.5" x14ac:dyDescent="0.35">
      <c r="A95" s="55" t="s">
        <v>330</v>
      </c>
      <c r="B95" s="2" t="s">
        <v>440</v>
      </c>
      <c r="C95" s="30" t="s">
        <v>51</v>
      </c>
      <c r="D95" s="2" t="s">
        <v>412</v>
      </c>
      <c r="E95" s="96" t="s">
        <v>848</v>
      </c>
      <c r="F95" s="70">
        <v>45524</v>
      </c>
      <c r="G95" s="30" t="s">
        <v>150</v>
      </c>
      <c r="H95" s="94" t="s">
        <v>849</v>
      </c>
      <c r="I95" s="112">
        <v>5530538732.7731094</v>
      </c>
      <c r="J95" s="111">
        <v>1050802359.2268908</v>
      </c>
      <c r="K95" s="33">
        <v>6581341092</v>
      </c>
      <c r="L95" s="77" t="s">
        <v>84</v>
      </c>
      <c r="M95" s="54">
        <v>860053523</v>
      </c>
      <c r="N95" s="30" t="s">
        <v>120</v>
      </c>
      <c r="O95" s="2" t="s">
        <v>831</v>
      </c>
      <c r="P95" s="56" t="s">
        <v>318</v>
      </c>
      <c r="Q95" s="3"/>
      <c r="R95" s="32">
        <f>+Tabla1513[[#This Row],[VALOR INICIAL DEL CONTRATO CON IVA]]+Tabla1513[[#This Row],[VALOR DE LAS ADICIONES CON IVA]]</f>
        <v>6581341092</v>
      </c>
      <c r="S95" s="48">
        <v>1095</v>
      </c>
      <c r="T95" s="56" t="s">
        <v>318</v>
      </c>
      <c r="U95" s="58"/>
      <c r="V95" s="56" t="s">
        <v>318</v>
      </c>
      <c r="W95" s="70">
        <v>45524</v>
      </c>
      <c r="X95" s="70">
        <v>46618</v>
      </c>
      <c r="Y95" s="70">
        <v>46618</v>
      </c>
      <c r="Z95" s="72" t="s">
        <v>319</v>
      </c>
      <c r="AA95" s="60"/>
      <c r="AB95" s="56"/>
      <c r="AC95" s="56" t="s">
        <v>441</v>
      </c>
      <c r="AD95" s="34">
        <v>0.1215</v>
      </c>
      <c r="AE95" s="34">
        <v>0.104</v>
      </c>
      <c r="AF95" s="35">
        <v>684317797.85000002</v>
      </c>
      <c r="AG95" s="36" t="s">
        <v>850</v>
      </c>
      <c r="AH95" s="63">
        <v>2024</v>
      </c>
    </row>
    <row r="96" spans="1:34" ht="43.5" x14ac:dyDescent="0.35">
      <c r="A96" s="55" t="s">
        <v>330</v>
      </c>
      <c r="B96" s="2" t="s">
        <v>31</v>
      </c>
      <c r="C96" s="30" t="s">
        <v>38</v>
      </c>
      <c r="D96" s="2" t="s">
        <v>313</v>
      </c>
      <c r="E96" s="96" t="s">
        <v>851</v>
      </c>
      <c r="F96" s="70">
        <v>45526</v>
      </c>
      <c r="G96" s="30" t="s">
        <v>150</v>
      </c>
      <c r="H96" s="94" t="s">
        <v>852</v>
      </c>
      <c r="I96" s="112">
        <v>35332668.067226894</v>
      </c>
      <c r="J96" s="111">
        <v>6713206.9327731095</v>
      </c>
      <c r="K96" s="33">
        <v>42045875</v>
      </c>
      <c r="L96" s="77" t="s">
        <v>84</v>
      </c>
      <c r="M96" s="54">
        <v>900239396</v>
      </c>
      <c r="N96" s="30" t="s">
        <v>103</v>
      </c>
      <c r="O96" s="2" t="s">
        <v>853</v>
      </c>
      <c r="P96" s="56" t="s">
        <v>318</v>
      </c>
      <c r="Q96" s="3"/>
      <c r="R96" s="32">
        <f>+Tabla1513[[#This Row],[VALOR INICIAL DEL CONTRATO CON IVA]]+Tabla1513[[#This Row],[VALOR DE LAS ADICIONES CON IVA]]</f>
        <v>42045875</v>
      </c>
      <c r="S96" s="48">
        <v>364</v>
      </c>
      <c r="T96" s="56" t="s">
        <v>318</v>
      </c>
      <c r="U96" s="58"/>
      <c r="V96" s="56" t="s">
        <v>318</v>
      </c>
      <c r="W96" s="70">
        <v>45563</v>
      </c>
      <c r="X96" s="70">
        <v>45927</v>
      </c>
      <c r="Y96" s="71">
        <v>45927</v>
      </c>
      <c r="Z96" s="72" t="s">
        <v>319</v>
      </c>
      <c r="AA96" s="60"/>
      <c r="AB96" s="56" t="s">
        <v>406</v>
      </c>
      <c r="AC96" s="56" t="s">
        <v>573</v>
      </c>
      <c r="AD96" s="34">
        <v>0.26</v>
      </c>
      <c r="AE96" s="34">
        <v>0.71455411499939059</v>
      </c>
      <c r="AF96" s="35">
        <v>30044053</v>
      </c>
      <c r="AG96" s="42"/>
      <c r="AH96" s="63">
        <v>2024</v>
      </c>
    </row>
    <row r="97" spans="1:34" ht="29" x14ac:dyDescent="0.35">
      <c r="A97" s="55" t="s">
        <v>330</v>
      </c>
      <c r="B97" s="2" t="s">
        <v>31</v>
      </c>
      <c r="C97" s="30" t="s">
        <v>32</v>
      </c>
      <c r="D97" s="2" t="s">
        <v>313</v>
      </c>
      <c r="E97" s="96" t="s">
        <v>855</v>
      </c>
      <c r="F97" s="70">
        <v>45527</v>
      </c>
      <c r="G97" s="30" t="s">
        <v>150</v>
      </c>
      <c r="H97" s="94" t="s">
        <v>856</v>
      </c>
      <c r="I97" s="101">
        <v>103543920.16806723</v>
      </c>
      <c r="J97" s="101">
        <v>19673344.831932776</v>
      </c>
      <c r="K97" s="47">
        <v>123217265</v>
      </c>
      <c r="L97" s="77" t="s">
        <v>84</v>
      </c>
      <c r="M97" s="54">
        <v>900150121</v>
      </c>
      <c r="N97" s="30" t="s">
        <v>85</v>
      </c>
      <c r="O97" s="2" t="s">
        <v>857</v>
      </c>
      <c r="P97" s="56" t="s">
        <v>317</v>
      </c>
      <c r="Q97" s="3">
        <v>54091648</v>
      </c>
      <c r="R97" s="32">
        <f>+Tabla1513[[#This Row],[VALOR INICIAL DEL CONTRATO CON IVA]]+Tabla1513[[#This Row],[VALOR DE LAS ADICIONES CON IVA]]</f>
        <v>177308913</v>
      </c>
      <c r="S97" s="48">
        <v>364</v>
      </c>
      <c r="T97" s="56" t="s">
        <v>317</v>
      </c>
      <c r="U97" s="58">
        <f>+Tabla1513[[#This Row],[FECHA FINAL DEL CONTRATO]]-Tabla1513[[#This Row],[FECHA TERMINACIÓN INICIAL CONTRATO]]</f>
        <v>181</v>
      </c>
      <c r="V97" s="56" t="s">
        <v>318</v>
      </c>
      <c r="W97" s="70">
        <v>45566</v>
      </c>
      <c r="X97" s="70">
        <v>45930</v>
      </c>
      <c r="Y97" s="71">
        <v>46111</v>
      </c>
      <c r="Z97" s="72" t="s">
        <v>319</v>
      </c>
      <c r="AA97" s="60"/>
      <c r="AB97" s="56"/>
      <c r="AC97" s="56" t="s">
        <v>477</v>
      </c>
      <c r="AD97" s="34">
        <v>0.25</v>
      </c>
      <c r="AE97" s="34">
        <v>0.22</v>
      </c>
      <c r="AF97" s="35">
        <v>19394525</v>
      </c>
      <c r="AG97" s="36" t="s">
        <v>858</v>
      </c>
      <c r="AH97" s="63">
        <v>2024</v>
      </c>
    </row>
    <row r="98" spans="1:34" ht="29" x14ac:dyDescent="0.35">
      <c r="A98" s="55" t="s">
        <v>330</v>
      </c>
      <c r="B98" s="2" t="s">
        <v>422</v>
      </c>
      <c r="C98" s="30" t="s">
        <v>44</v>
      </c>
      <c r="D98" s="2" t="s">
        <v>313</v>
      </c>
      <c r="E98" s="96" t="s">
        <v>859</v>
      </c>
      <c r="F98" s="70">
        <v>45534</v>
      </c>
      <c r="G98" s="30" t="s">
        <v>150</v>
      </c>
      <c r="H98" s="94" t="s">
        <v>860</v>
      </c>
      <c r="I98" s="101">
        <v>1186400000</v>
      </c>
      <c r="J98" s="101">
        <v>225416000</v>
      </c>
      <c r="K98" s="47">
        <v>1411816000</v>
      </c>
      <c r="L98" s="77" t="s">
        <v>84</v>
      </c>
      <c r="M98" s="54">
        <v>800062782</v>
      </c>
      <c r="N98" s="30" t="s">
        <v>123</v>
      </c>
      <c r="O98" s="2" t="s">
        <v>423</v>
      </c>
      <c r="P98" s="56" t="s">
        <v>318</v>
      </c>
      <c r="Q98" s="3"/>
      <c r="R98" s="32">
        <f>+Tabla1513[[#This Row],[VALOR INICIAL DEL CONTRATO CON IVA]]+Tabla1513[[#This Row],[VALOR DE LAS ADICIONES CON IVA]]</f>
        <v>1411816000</v>
      </c>
      <c r="S98" s="48">
        <f>+Tabla1513[[#This Row],[FECHA TERMINACIÓN INICIAL CONTRATO]]-Tabla1513[[#This Row],[FECHA INICIO CONTRATO]]</f>
        <v>1095</v>
      </c>
      <c r="T98" s="56" t="s">
        <v>318</v>
      </c>
      <c r="U98" s="58"/>
      <c r="V98" s="56" t="s">
        <v>318</v>
      </c>
      <c r="W98" s="70">
        <v>45539</v>
      </c>
      <c r="X98" s="70">
        <v>46634</v>
      </c>
      <c r="Y98" s="71">
        <v>46634</v>
      </c>
      <c r="Z98" s="72" t="s">
        <v>319</v>
      </c>
      <c r="AA98" s="60"/>
      <c r="AB98" s="56"/>
      <c r="AC98" s="56" t="s">
        <v>424</v>
      </c>
      <c r="AD98" s="34">
        <v>0.11</v>
      </c>
      <c r="AE98" s="34">
        <v>0.06</v>
      </c>
      <c r="AF98" s="35">
        <v>83419676.780000001</v>
      </c>
      <c r="AG98" s="36" t="s">
        <v>861</v>
      </c>
      <c r="AH98" s="63">
        <v>2024</v>
      </c>
    </row>
    <row r="99" spans="1:34" ht="58" x14ac:dyDescent="0.35">
      <c r="A99" s="55" t="s">
        <v>330</v>
      </c>
      <c r="B99" s="2" t="s">
        <v>31</v>
      </c>
      <c r="C99" s="30" t="s">
        <v>862</v>
      </c>
      <c r="D99" s="2" t="s">
        <v>313</v>
      </c>
      <c r="E99" s="97" t="s">
        <v>863</v>
      </c>
      <c r="F99" s="70">
        <v>45537</v>
      </c>
      <c r="G99" s="30" t="s">
        <v>150</v>
      </c>
      <c r="H99" s="94" t="s">
        <v>864</v>
      </c>
      <c r="I99" s="112">
        <v>56057886</v>
      </c>
      <c r="J99" s="111">
        <v>8735892</v>
      </c>
      <c r="K99" s="33">
        <v>64793778</v>
      </c>
      <c r="L99" s="77" t="s">
        <v>84</v>
      </c>
      <c r="M99" s="54">
        <v>900332892</v>
      </c>
      <c r="N99" s="30" t="s">
        <v>97</v>
      </c>
      <c r="O99" s="2" t="s">
        <v>865</v>
      </c>
      <c r="P99" s="56" t="s">
        <v>318</v>
      </c>
      <c r="Q99" s="3"/>
      <c r="R99" s="32">
        <f>+Tabla1513[[#This Row],[VALOR INICIAL DEL CONTRATO CON IVA]]+Tabla1513[[#This Row],[VALOR DE LAS ADICIONES CON IVA]]</f>
        <v>64793778</v>
      </c>
      <c r="S99" s="48">
        <v>364</v>
      </c>
      <c r="T99" s="56" t="s">
        <v>318</v>
      </c>
      <c r="U99" s="58"/>
      <c r="V99" s="56" t="s">
        <v>318</v>
      </c>
      <c r="W99" s="70">
        <v>45563</v>
      </c>
      <c r="X99" s="70">
        <v>45927</v>
      </c>
      <c r="Y99" s="71">
        <v>45927</v>
      </c>
      <c r="Z99" s="72" t="s">
        <v>319</v>
      </c>
      <c r="AA99" s="60"/>
      <c r="AB99" s="56" t="s">
        <v>406</v>
      </c>
      <c r="AC99" s="56" t="s">
        <v>607</v>
      </c>
      <c r="AD99" s="34">
        <v>0.26</v>
      </c>
      <c r="AE99" s="34">
        <v>0.15556286901498473</v>
      </c>
      <c r="AF99" s="35">
        <v>10079506</v>
      </c>
      <c r="AG99" s="42"/>
      <c r="AH99" s="63">
        <v>2024</v>
      </c>
    </row>
    <row r="100" spans="1:34" ht="43.5" x14ac:dyDescent="0.35">
      <c r="A100" s="55" t="s">
        <v>330</v>
      </c>
      <c r="B100" s="2" t="s">
        <v>31</v>
      </c>
      <c r="C100" s="30" t="s">
        <v>36</v>
      </c>
      <c r="D100" s="2" t="s">
        <v>412</v>
      </c>
      <c r="E100" s="97" t="s">
        <v>866</v>
      </c>
      <c r="F100" s="70">
        <v>45560</v>
      </c>
      <c r="G100" s="30" t="s">
        <v>150</v>
      </c>
      <c r="H100" s="94" t="s">
        <v>867</v>
      </c>
      <c r="I100" s="101">
        <v>1175625613</v>
      </c>
      <c r="J100" s="101">
        <v>223368867</v>
      </c>
      <c r="K100" s="47">
        <v>1398994480</v>
      </c>
      <c r="L100" s="77" t="s">
        <v>84</v>
      </c>
      <c r="M100" s="54">
        <v>900418656</v>
      </c>
      <c r="N100" s="30" t="s">
        <v>91</v>
      </c>
      <c r="O100" s="2" t="s">
        <v>442</v>
      </c>
      <c r="P100" s="56" t="s">
        <v>318</v>
      </c>
      <c r="Q100" s="3"/>
      <c r="R100" s="32">
        <f>+Tabla1513[[#This Row],[VALOR INICIAL DEL CONTRATO CON IVA]]+Tabla1513[[#This Row],[VALOR DE LAS ADICIONES CON IVA]]</f>
        <v>1398994480</v>
      </c>
      <c r="S100" s="48">
        <v>1460</v>
      </c>
      <c r="T100" s="56" t="s">
        <v>318</v>
      </c>
      <c r="U100" s="58"/>
      <c r="V100" s="56" t="s">
        <v>318</v>
      </c>
      <c r="W100" s="70">
        <v>45562</v>
      </c>
      <c r="X100" s="70">
        <v>47022</v>
      </c>
      <c r="Y100" s="71">
        <v>47022</v>
      </c>
      <c r="Z100" s="72" t="s">
        <v>319</v>
      </c>
      <c r="AA100" s="60"/>
      <c r="AB100" s="56"/>
      <c r="AC100" s="56" t="s">
        <v>558</v>
      </c>
      <c r="AD100" s="34">
        <v>6.3E-2</v>
      </c>
      <c r="AE100" s="34">
        <v>5.8000000000000003E-2</v>
      </c>
      <c r="AF100" s="35">
        <v>81187155</v>
      </c>
      <c r="AG100" s="36" t="s">
        <v>868</v>
      </c>
      <c r="AH100" s="63">
        <v>2024</v>
      </c>
    </row>
    <row r="101" spans="1:34" ht="29" x14ac:dyDescent="0.35">
      <c r="A101" s="55" t="s">
        <v>330</v>
      </c>
      <c r="B101" s="2" t="s">
        <v>4</v>
      </c>
      <c r="C101" s="30" t="s">
        <v>579</v>
      </c>
      <c r="D101" s="2" t="s">
        <v>313</v>
      </c>
      <c r="E101" s="97" t="s">
        <v>871</v>
      </c>
      <c r="F101" s="70">
        <v>45565</v>
      </c>
      <c r="G101" s="30" t="s">
        <v>150</v>
      </c>
      <c r="H101" s="94" t="s">
        <v>872</v>
      </c>
      <c r="I101" s="101">
        <v>54621749</v>
      </c>
      <c r="J101" s="101">
        <v>10378132.310000001</v>
      </c>
      <c r="K101" s="47">
        <v>64999881</v>
      </c>
      <c r="L101" s="77" t="s">
        <v>84</v>
      </c>
      <c r="M101" s="54">
        <v>830048654</v>
      </c>
      <c r="N101" s="30" t="s">
        <v>111</v>
      </c>
      <c r="O101" s="2" t="s">
        <v>636</v>
      </c>
      <c r="P101" s="56" t="s">
        <v>318</v>
      </c>
      <c r="Q101" s="3"/>
      <c r="R101" s="32">
        <f>+Tabla1513[[#This Row],[VALOR INICIAL DEL CONTRATO CON IVA]]+Tabla1513[[#This Row],[VALOR DE LAS ADICIONES CON IVA]]</f>
        <v>64999881</v>
      </c>
      <c r="S101" s="48">
        <v>365</v>
      </c>
      <c r="T101" s="56" t="s">
        <v>318</v>
      </c>
      <c r="U101" s="58"/>
      <c r="V101" s="56" t="s">
        <v>318</v>
      </c>
      <c r="W101" s="70">
        <v>45566</v>
      </c>
      <c r="X101" s="70">
        <v>45931</v>
      </c>
      <c r="Y101" s="71">
        <v>45931</v>
      </c>
      <c r="Z101" s="72" t="s">
        <v>319</v>
      </c>
      <c r="AA101" s="60"/>
      <c r="AB101" s="56" t="s">
        <v>406</v>
      </c>
      <c r="AC101" s="56" t="s">
        <v>558</v>
      </c>
      <c r="AD101" s="34">
        <v>0.25</v>
      </c>
      <c r="AE101" s="34">
        <v>1</v>
      </c>
      <c r="AF101" s="35">
        <v>64999881.310000002</v>
      </c>
      <c r="AG101" s="42"/>
      <c r="AH101" s="63">
        <v>2024</v>
      </c>
    </row>
    <row r="102" spans="1:34" ht="43.5" x14ac:dyDescent="0.35">
      <c r="A102" s="55" t="s">
        <v>330</v>
      </c>
      <c r="B102" s="2" t="s">
        <v>31</v>
      </c>
      <c r="C102" s="30" t="s">
        <v>34</v>
      </c>
      <c r="D102" s="2" t="s">
        <v>313</v>
      </c>
      <c r="E102" s="96" t="s">
        <v>873</v>
      </c>
      <c r="F102" s="70">
        <v>45569</v>
      </c>
      <c r="G102" s="30" t="s">
        <v>150</v>
      </c>
      <c r="H102" s="94" t="s">
        <v>874</v>
      </c>
      <c r="I102" s="111">
        <v>45300000</v>
      </c>
      <c r="J102" s="111">
        <v>8607000</v>
      </c>
      <c r="K102" s="47">
        <v>53907000</v>
      </c>
      <c r="L102" s="77" t="s">
        <v>84</v>
      </c>
      <c r="M102" s="54">
        <v>900233434</v>
      </c>
      <c r="N102" s="30" t="s">
        <v>120</v>
      </c>
      <c r="O102" s="2" t="s">
        <v>492</v>
      </c>
      <c r="P102" s="31" t="s">
        <v>318</v>
      </c>
      <c r="Q102" s="3"/>
      <c r="R102" s="32">
        <f>+Tabla1513[[#This Row],[VALOR INICIAL DEL CONTRATO CON IVA]]+Tabla1513[[#This Row],[VALOR DE LAS ADICIONES CON IVA]]</f>
        <v>53907000</v>
      </c>
      <c r="S102" s="48">
        <v>730</v>
      </c>
      <c r="T102" s="119" t="s">
        <v>318</v>
      </c>
      <c r="U102" s="120"/>
      <c r="V102" s="56" t="s">
        <v>318</v>
      </c>
      <c r="W102" s="70">
        <v>45573</v>
      </c>
      <c r="X102" s="70">
        <v>46303</v>
      </c>
      <c r="Y102" s="70">
        <v>46303</v>
      </c>
      <c r="Z102" s="72" t="s">
        <v>319</v>
      </c>
      <c r="AA102" s="60"/>
      <c r="AB102" s="56"/>
      <c r="AC102" s="56" t="s">
        <v>574</v>
      </c>
      <c r="AD102" s="34">
        <v>0</v>
      </c>
      <c r="AE102" s="34">
        <v>0</v>
      </c>
      <c r="AF102" s="35">
        <v>0</v>
      </c>
      <c r="AG102" s="42"/>
      <c r="AH102" s="63">
        <v>2024</v>
      </c>
    </row>
    <row r="103" spans="1:34" ht="43.5" x14ac:dyDescent="0.3">
      <c r="A103" s="55" t="s">
        <v>330</v>
      </c>
      <c r="B103" s="2" t="s">
        <v>310</v>
      </c>
      <c r="C103" s="30" t="s">
        <v>843</v>
      </c>
      <c r="D103" s="2" t="s">
        <v>412</v>
      </c>
      <c r="E103" s="97" t="s">
        <v>875</v>
      </c>
      <c r="F103" s="70">
        <v>45575</v>
      </c>
      <c r="G103" s="30" t="s">
        <v>150</v>
      </c>
      <c r="H103" s="121" t="s">
        <v>876</v>
      </c>
      <c r="I103" s="122">
        <v>815813424</v>
      </c>
      <c r="J103" s="122">
        <v>155004551</v>
      </c>
      <c r="K103" s="33">
        <v>970817975</v>
      </c>
      <c r="L103" s="77" t="s">
        <v>84</v>
      </c>
      <c r="M103" s="54">
        <v>900376503</v>
      </c>
      <c r="N103" s="30" t="s">
        <v>91</v>
      </c>
      <c r="O103" s="2" t="s">
        <v>877</v>
      </c>
      <c r="P103" s="31" t="s">
        <v>318</v>
      </c>
      <c r="Q103" s="3"/>
      <c r="R103" s="32">
        <f>+Tabla1513[[#This Row],[VALOR INICIAL DEL CONTRATO CON IVA]]+Tabla1513[[#This Row],[VALOR DE LAS ADICIONES CON IVA]]</f>
        <v>970817975</v>
      </c>
      <c r="S103" s="48">
        <v>730</v>
      </c>
      <c r="T103" s="119" t="s">
        <v>318</v>
      </c>
      <c r="U103" s="120"/>
      <c r="V103" s="56" t="s">
        <v>318</v>
      </c>
      <c r="W103" s="70">
        <v>45575</v>
      </c>
      <c r="X103" s="70">
        <v>46305</v>
      </c>
      <c r="Y103" s="70">
        <v>46305</v>
      </c>
      <c r="Z103" s="72" t="s">
        <v>319</v>
      </c>
      <c r="AA103" s="60"/>
      <c r="AB103" s="56"/>
      <c r="AC103" s="56" t="s">
        <v>574</v>
      </c>
      <c r="AD103" s="34">
        <v>0.1043</v>
      </c>
      <c r="AE103" s="34">
        <v>8.3299999999999999E-2</v>
      </c>
      <c r="AF103" s="35">
        <v>80901497.879999995</v>
      </c>
      <c r="AG103" s="42"/>
      <c r="AH103" s="63">
        <v>2024</v>
      </c>
    </row>
    <row r="104" spans="1:34" ht="43.5" x14ac:dyDescent="0.35">
      <c r="A104" s="55" t="s">
        <v>330</v>
      </c>
      <c r="B104" s="2" t="s">
        <v>11</v>
      </c>
      <c r="C104" s="30" t="s">
        <v>12</v>
      </c>
      <c r="D104" s="2" t="s">
        <v>412</v>
      </c>
      <c r="E104" s="123" t="s">
        <v>878</v>
      </c>
      <c r="F104" s="124">
        <v>45575</v>
      </c>
      <c r="G104" s="30" t="s">
        <v>413</v>
      </c>
      <c r="H104" s="94" t="s">
        <v>1191</v>
      </c>
      <c r="I104" s="125">
        <v>2541727902</v>
      </c>
      <c r="J104" s="126">
        <v>482928301</v>
      </c>
      <c r="K104" s="33">
        <v>3024656203</v>
      </c>
      <c r="L104" s="77" t="s">
        <v>84</v>
      </c>
      <c r="M104" s="54">
        <v>800233464</v>
      </c>
      <c r="N104" s="30" t="s">
        <v>114</v>
      </c>
      <c r="O104" s="2" t="s">
        <v>879</v>
      </c>
      <c r="P104" s="56" t="s">
        <v>318</v>
      </c>
      <c r="Q104" s="3"/>
      <c r="R104" s="32">
        <f>+Tabla1513[[#This Row],[VALOR INICIAL DEL CONTRATO CON IVA]]+Tabla1513[[#This Row],[VALOR DE LAS ADICIONES CON IVA]]</f>
        <v>3024656203</v>
      </c>
      <c r="S104" s="48">
        <v>963</v>
      </c>
      <c r="T104" s="56" t="s">
        <v>318</v>
      </c>
      <c r="U104" s="58"/>
      <c r="V104" s="56" t="s">
        <v>318</v>
      </c>
      <c r="W104" s="70">
        <v>45575</v>
      </c>
      <c r="X104" s="70">
        <v>46538</v>
      </c>
      <c r="Y104" s="70">
        <v>46538</v>
      </c>
      <c r="Z104" s="72" t="s">
        <v>319</v>
      </c>
      <c r="AA104" s="60"/>
      <c r="AB104" s="56"/>
      <c r="AC104" s="56" t="s">
        <v>415</v>
      </c>
      <c r="AD104" s="34">
        <v>6.3E-2</v>
      </c>
      <c r="AE104" s="34">
        <v>9.5500000000000002E-2</v>
      </c>
      <c r="AF104" s="35">
        <v>197166828</v>
      </c>
      <c r="AG104" s="42"/>
      <c r="AH104" s="63">
        <v>2024</v>
      </c>
    </row>
    <row r="105" spans="1:34" ht="29" x14ac:dyDescent="0.35">
      <c r="A105" s="55" t="s">
        <v>330</v>
      </c>
      <c r="B105" s="2" t="s">
        <v>11</v>
      </c>
      <c r="C105" s="30" t="s">
        <v>19</v>
      </c>
      <c r="D105" s="2" t="s">
        <v>313</v>
      </c>
      <c r="E105" s="96" t="s">
        <v>881</v>
      </c>
      <c r="F105" s="124">
        <v>45581</v>
      </c>
      <c r="G105" s="30" t="s">
        <v>150</v>
      </c>
      <c r="H105" s="127" t="s">
        <v>882</v>
      </c>
      <c r="I105" s="128">
        <v>135840000</v>
      </c>
      <c r="J105" s="128">
        <v>25809600</v>
      </c>
      <c r="K105" s="33">
        <v>161649600</v>
      </c>
      <c r="L105" s="77" t="s">
        <v>84</v>
      </c>
      <c r="M105" s="54">
        <v>901312112</v>
      </c>
      <c r="N105" s="30" t="s">
        <v>108</v>
      </c>
      <c r="O105" s="2" t="s">
        <v>883</v>
      </c>
      <c r="P105" s="31" t="s">
        <v>318</v>
      </c>
      <c r="Q105" s="3"/>
      <c r="R105" s="32">
        <f>+Tabla1513[[#This Row],[VALOR INICIAL DEL CONTRATO CON IVA]]+Tabla1513[[#This Row],[VALOR DE LAS ADICIONES CON IVA]]</f>
        <v>161649600</v>
      </c>
      <c r="S105" s="48">
        <v>365</v>
      </c>
      <c r="T105" s="119" t="s">
        <v>318</v>
      </c>
      <c r="U105" s="120"/>
      <c r="V105" s="56" t="s">
        <v>318</v>
      </c>
      <c r="W105" s="70">
        <v>45604</v>
      </c>
      <c r="X105" s="70">
        <v>45969</v>
      </c>
      <c r="Y105" s="70">
        <v>45969</v>
      </c>
      <c r="Z105" s="72" t="s">
        <v>319</v>
      </c>
      <c r="AA105" s="60"/>
      <c r="AB105" s="56"/>
      <c r="AC105" s="56" t="s">
        <v>558</v>
      </c>
      <c r="AD105" s="34">
        <v>0.17</v>
      </c>
      <c r="AE105" s="34">
        <v>0</v>
      </c>
      <c r="AF105" s="35">
        <v>0</v>
      </c>
      <c r="AG105" s="36" t="s">
        <v>884</v>
      </c>
      <c r="AH105" s="63">
        <v>2024</v>
      </c>
    </row>
    <row r="106" spans="1:34" ht="29" x14ac:dyDescent="0.35">
      <c r="A106" s="55" t="s">
        <v>330</v>
      </c>
      <c r="B106" s="2" t="s">
        <v>473</v>
      </c>
      <c r="C106" s="30" t="s">
        <v>63</v>
      </c>
      <c r="D106" s="2" t="s">
        <v>313</v>
      </c>
      <c r="E106" s="96" t="s">
        <v>885</v>
      </c>
      <c r="F106" s="124">
        <v>45589</v>
      </c>
      <c r="G106" s="30" t="s">
        <v>150</v>
      </c>
      <c r="H106" s="94" t="s">
        <v>886</v>
      </c>
      <c r="I106" s="78">
        <v>178500000</v>
      </c>
      <c r="J106" s="111">
        <v>0</v>
      </c>
      <c r="K106" s="47">
        <v>178500000</v>
      </c>
      <c r="L106" s="77" t="s">
        <v>84</v>
      </c>
      <c r="M106" s="54">
        <v>900868119</v>
      </c>
      <c r="N106" s="30" t="s">
        <v>120</v>
      </c>
      <c r="O106" s="2" t="s">
        <v>887</v>
      </c>
      <c r="P106" s="31" t="s">
        <v>318</v>
      </c>
      <c r="Q106" s="3"/>
      <c r="R106" s="32">
        <f>+Tabla1513[[#This Row],[VALOR INICIAL DEL CONTRATO CON IVA]]+Tabla1513[[#This Row],[VALOR DE LAS ADICIONES CON IVA]]</f>
        <v>178500000</v>
      </c>
      <c r="S106" s="48">
        <v>365</v>
      </c>
      <c r="T106" s="119" t="s">
        <v>318</v>
      </c>
      <c r="U106" s="120"/>
      <c r="V106" s="56" t="s">
        <v>318</v>
      </c>
      <c r="W106" s="70">
        <v>45589</v>
      </c>
      <c r="X106" s="70">
        <v>45954</v>
      </c>
      <c r="Y106" s="70">
        <v>45954</v>
      </c>
      <c r="Z106" s="72" t="s">
        <v>319</v>
      </c>
      <c r="AA106" s="60"/>
      <c r="AB106" s="56"/>
      <c r="AC106" s="56" t="s">
        <v>312</v>
      </c>
      <c r="AD106" s="34">
        <v>0.25</v>
      </c>
      <c r="AE106" s="34">
        <v>0.25</v>
      </c>
      <c r="AF106" s="35">
        <v>135218698</v>
      </c>
      <c r="AG106" s="36" t="s">
        <v>888</v>
      </c>
      <c r="AH106" s="63">
        <v>2024</v>
      </c>
    </row>
    <row r="107" spans="1:34" ht="43.5" x14ac:dyDescent="0.35">
      <c r="A107" s="55" t="s">
        <v>330</v>
      </c>
      <c r="B107" s="2" t="s">
        <v>422</v>
      </c>
      <c r="C107" s="30" t="s">
        <v>45</v>
      </c>
      <c r="D107" s="2" t="s">
        <v>313</v>
      </c>
      <c r="E107" s="123" t="s">
        <v>889</v>
      </c>
      <c r="F107" s="124">
        <v>45590</v>
      </c>
      <c r="G107" s="30" t="s">
        <v>150</v>
      </c>
      <c r="H107" s="94" t="s">
        <v>890</v>
      </c>
      <c r="I107" s="112">
        <v>2171575150</v>
      </c>
      <c r="J107" s="111">
        <v>412599278</v>
      </c>
      <c r="K107" s="33">
        <v>2584174428</v>
      </c>
      <c r="L107" s="77" t="s">
        <v>84</v>
      </c>
      <c r="M107" s="54">
        <v>900635607</v>
      </c>
      <c r="N107" s="30" t="s">
        <v>85</v>
      </c>
      <c r="O107" s="2" t="s">
        <v>891</v>
      </c>
      <c r="P107" s="56" t="s">
        <v>318</v>
      </c>
      <c r="Q107" s="3"/>
      <c r="R107" s="32">
        <f>+Tabla1513[[#This Row],[VALOR INICIAL DEL CONTRATO CON IVA]]+Tabla1513[[#This Row],[VALOR DE LAS ADICIONES CON IVA]]</f>
        <v>2584174428</v>
      </c>
      <c r="S107" s="48">
        <v>1095</v>
      </c>
      <c r="T107" s="56" t="s">
        <v>318</v>
      </c>
      <c r="U107" s="58"/>
      <c r="V107" s="56" t="s">
        <v>318</v>
      </c>
      <c r="W107" s="70">
        <v>45590</v>
      </c>
      <c r="X107" s="70">
        <v>46685</v>
      </c>
      <c r="Y107" s="70">
        <v>46685</v>
      </c>
      <c r="Z107" s="72" t="s">
        <v>319</v>
      </c>
      <c r="AA107" s="60"/>
      <c r="AB107" s="56"/>
      <c r="AC107" s="56" t="s">
        <v>446</v>
      </c>
      <c r="AD107" s="34">
        <v>0.06</v>
      </c>
      <c r="AE107" s="34">
        <v>0.04</v>
      </c>
      <c r="AF107" s="35">
        <v>98018073</v>
      </c>
      <c r="AG107" s="36" t="s">
        <v>892</v>
      </c>
      <c r="AH107" s="63">
        <v>2024</v>
      </c>
    </row>
    <row r="108" spans="1:34" ht="29" x14ac:dyDescent="0.35">
      <c r="A108" s="55" t="s">
        <v>330</v>
      </c>
      <c r="B108" s="2" t="s">
        <v>473</v>
      </c>
      <c r="C108" s="30" t="s">
        <v>63</v>
      </c>
      <c r="D108" s="2" t="s">
        <v>313</v>
      </c>
      <c r="E108" s="96" t="s">
        <v>893</v>
      </c>
      <c r="F108" s="124">
        <v>45593</v>
      </c>
      <c r="G108" s="30" t="s">
        <v>150</v>
      </c>
      <c r="H108" s="94" t="s">
        <v>894</v>
      </c>
      <c r="I108" s="78">
        <v>178500000</v>
      </c>
      <c r="J108" s="111">
        <v>0</v>
      </c>
      <c r="K108" s="47">
        <v>178500000</v>
      </c>
      <c r="L108" s="77" t="s">
        <v>84</v>
      </c>
      <c r="M108" s="54">
        <v>900422908</v>
      </c>
      <c r="N108" s="30" t="s">
        <v>120</v>
      </c>
      <c r="O108" s="2" t="s">
        <v>895</v>
      </c>
      <c r="P108" s="31" t="s">
        <v>318</v>
      </c>
      <c r="Q108" s="3"/>
      <c r="R108" s="32">
        <f>+Tabla1513[[#This Row],[VALOR INICIAL DEL CONTRATO CON IVA]]+Tabla1513[[#This Row],[VALOR DE LAS ADICIONES CON IVA]]</f>
        <v>178500000</v>
      </c>
      <c r="S108" s="48">
        <v>365</v>
      </c>
      <c r="T108" s="119" t="s">
        <v>318</v>
      </c>
      <c r="U108" s="120"/>
      <c r="V108" s="56" t="s">
        <v>318</v>
      </c>
      <c r="W108" s="70">
        <v>45593</v>
      </c>
      <c r="X108" s="70">
        <v>45957</v>
      </c>
      <c r="Y108" s="70">
        <v>45957</v>
      </c>
      <c r="Z108" s="72" t="s">
        <v>319</v>
      </c>
      <c r="AA108" s="60"/>
      <c r="AB108" s="56"/>
      <c r="AC108" s="56" t="s">
        <v>312</v>
      </c>
      <c r="AD108" s="34">
        <v>0.25</v>
      </c>
      <c r="AE108" s="34">
        <v>0.25</v>
      </c>
      <c r="AF108" s="35">
        <v>0</v>
      </c>
      <c r="AG108" s="36" t="s">
        <v>896</v>
      </c>
      <c r="AH108" s="63">
        <v>2024</v>
      </c>
    </row>
    <row r="109" spans="1:34" ht="29" x14ac:dyDescent="0.35">
      <c r="A109" s="55" t="s">
        <v>330</v>
      </c>
      <c r="B109" s="2" t="s">
        <v>4</v>
      </c>
      <c r="C109" s="30" t="s">
        <v>579</v>
      </c>
      <c r="D109" s="2" t="s">
        <v>313</v>
      </c>
      <c r="E109" s="96" t="s">
        <v>897</v>
      </c>
      <c r="F109" s="124">
        <v>45586</v>
      </c>
      <c r="G109" s="30" t="s">
        <v>150</v>
      </c>
      <c r="H109" s="94" t="s">
        <v>898</v>
      </c>
      <c r="I109" s="101">
        <v>26943221.848739497</v>
      </c>
      <c r="J109" s="101">
        <v>5119212.1512605045</v>
      </c>
      <c r="K109" s="47">
        <v>32062434</v>
      </c>
      <c r="L109" s="77" t="s">
        <v>84</v>
      </c>
      <c r="M109" s="54">
        <v>800046226</v>
      </c>
      <c r="N109" s="30" t="s">
        <v>120</v>
      </c>
      <c r="O109" s="2" t="s">
        <v>899</v>
      </c>
      <c r="P109" s="31" t="s">
        <v>318</v>
      </c>
      <c r="Q109" s="3"/>
      <c r="R109" s="32">
        <f>+Tabla1513[[#This Row],[VALOR INICIAL DEL CONTRATO CON IVA]]+Tabla1513[[#This Row],[VALOR DE LAS ADICIONES CON IVA]]</f>
        <v>32062434</v>
      </c>
      <c r="S109" s="48">
        <v>365</v>
      </c>
      <c r="T109" s="119" t="s">
        <v>318</v>
      </c>
      <c r="U109" s="120"/>
      <c r="V109" s="56" t="s">
        <v>318</v>
      </c>
      <c r="W109" s="70">
        <v>45590</v>
      </c>
      <c r="X109" s="70">
        <v>45955</v>
      </c>
      <c r="Y109" s="70">
        <v>45955</v>
      </c>
      <c r="Z109" s="72" t="s">
        <v>319</v>
      </c>
      <c r="AA109" s="60"/>
      <c r="AB109" s="56"/>
      <c r="AC109" s="56" t="s">
        <v>558</v>
      </c>
      <c r="AD109" s="34">
        <v>0.18356164383561643</v>
      </c>
      <c r="AE109" s="34">
        <v>0.48487881936848587</v>
      </c>
      <c r="AF109" s="35">
        <v>15546395.143999999</v>
      </c>
      <c r="AG109" s="36" t="s">
        <v>900</v>
      </c>
      <c r="AH109" s="63">
        <v>2024</v>
      </c>
    </row>
    <row r="110" spans="1:34" ht="29" x14ac:dyDescent="0.35">
      <c r="A110" s="55" t="s">
        <v>330</v>
      </c>
      <c r="B110" s="2" t="s">
        <v>310</v>
      </c>
      <c r="C110" s="30" t="s">
        <v>843</v>
      </c>
      <c r="D110" s="2" t="s">
        <v>362</v>
      </c>
      <c r="E110" s="123" t="s">
        <v>901</v>
      </c>
      <c r="F110" s="124">
        <v>45590</v>
      </c>
      <c r="G110" s="30" t="s">
        <v>150</v>
      </c>
      <c r="H110" s="94" t="s">
        <v>902</v>
      </c>
      <c r="I110" s="112">
        <v>359843171</v>
      </c>
      <c r="J110" s="111">
        <v>68370203</v>
      </c>
      <c r="K110" s="33">
        <v>428213374</v>
      </c>
      <c r="L110" s="77" t="s">
        <v>84</v>
      </c>
      <c r="M110" s="54">
        <v>830067566</v>
      </c>
      <c r="N110" s="2" t="s">
        <v>114</v>
      </c>
      <c r="O110" s="2" t="s">
        <v>572</v>
      </c>
      <c r="P110" s="56" t="s">
        <v>318</v>
      </c>
      <c r="Q110" s="3"/>
      <c r="R110" s="32">
        <f>+Tabla1513[[#This Row],[VALOR INICIAL DEL CONTRATO CON IVA]]+Tabla1513[[#This Row],[VALOR DE LAS ADICIONES CON IVA]]</f>
        <v>428213374</v>
      </c>
      <c r="S110" s="48">
        <v>730</v>
      </c>
      <c r="T110" s="56" t="s">
        <v>318</v>
      </c>
      <c r="U110" s="58"/>
      <c r="V110" s="56" t="s">
        <v>318</v>
      </c>
      <c r="W110" s="70">
        <v>45590</v>
      </c>
      <c r="X110" s="70">
        <v>46320</v>
      </c>
      <c r="Y110" s="70">
        <v>46320</v>
      </c>
      <c r="Z110" s="72" t="s">
        <v>319</v>
      </c>
      <c r="AA110" s="60"/>
      <c r="AB110" s="56"/>
      <c r="AC110" s="56" t="s">
        <v>415</v>
      </c>
      <c r="AD110" s="34">
        <v>7.1199999999999999E-2</v>
      </c>
      <c r="AE110" s="34">
        <v>0</v>
      </c>
      <c r="AF110" s="35">
        <v>0</v>
      </c>
      <c r="AG110" s="36" t="s">
        <v>903</v>
      </c>
      <c r="AH110" s="63">
        <v>2024</v>
      </c>
    </row>
    <row r="111" spans="1:34" ht="43.5" x14ac:dyDescent="0.35">
      <c r="A111" s="55" t="s">
        <v>330</v>
      </c>
      <c r="B111" s="2" t="s">
        <v>11</v>
      </c>
      <c r="C111" s="30" t="s">
        <v>19</v>
      </c>
      <c r="D111" s="2" t="s">
        <v>313</v>
      </c>
      <c r="E111" s="97" t="s">
        <v>904</v>
      </c>
      <c r="F111" s="124">
        <v>45596</v>
      </c>
      <c r="G111" s="30" t="s">
        <v>88</v>
      </c>
      <c r="H111" s="94" t="s">
        <v>905</v>
      </c>
      <c r="I111" s="32">
        <v>21000000</v>
      </c>
      <c r="J111" s="81">
        <v>0</v>
      </c>
      <c r="K111" s="47">
        <v>21000000</v>
      </c>
      <c r="L111" s="77" t="s">
        <v>96</v>
      </c>
      <c r="M111" s="54">
        <v>52644356</v>
      </c>
      <c r="N111" s="30"/>
      <c r="O111" s="2" t="s">
        <v>906</v>
      </c>
      <c r="P111" s="56" t="s">
        <v>318</v>
      </c>
      <c r="Q111" s="3"/>
      <c r="R111" s="32">
        <f>+Tabla1513[[#This Row],[VALOR INICIAL DEL CONTRATO CON IVA]]+Tabla1513[[#This Row],[VALOR DE LAS ADICIONES CON IVA]]</f>
        <v>21000000</v>
      </c>
      <c r="S111" s="48">
        <v>426</v>
      </c>
      <c r="T111" s="56" t="s">
        <v>318</v>
      </c>
      <c r="U111" s="58"/>
      <c r="V111" s="56" t="s">
        <v>318</v>
      </c>
      <c r="W111" s="70">
        <v>45603</v>
      </c>
      <c r="X111" s="70">
        <v>46029</v>
      </c>
      <c r="Y111" s="70">
        <v>46029</v>
      </c>
      <c r="Z111" s="72" t="s">
        <v>319</v>
      </c>
      <c r="AA111" s="60"/>
      <c r="AB111" s="56"/>
      <c r="AC111" s="56" t="s">
        <v>337</v>
      </c>
      <c r="AD111" s="34">
        <v>0.16669999999999999</v>
      </c>
      <c r="AE111" s="34">
        <v>0.1429</v>
      </c>
      <c r="AF111" s="35">
        <v>3000000</v>
      </c>
      <c r="AG111" s="36" t="s">
        <v>907</v>
      </c>
      <c r="AH111" s="63">
        <v>2024</v>
      </c>
    </row>
    <row r="112" spans="1:34" ht="29" x14ac:dyDescent="0.35">
      <c r="A112" s="55" t="s">
        <v>330</v>
      </c>
      <c r="B112" s="2" t="s">
        <v>473</v>
      </c>
      <c r="C112" s="30" t="s">
        <v>63</v>
      </c>
      <c r="D112" s="2" t="s">
        <v>313</v>
      </c>
      <c r="E112" s="97" t="s">
        <v>908</v>
      </c>
      <c r="F112" s="70">
        <v>45602</v>
      </c>
      <c r="G112" s="30" t="s">
        <v>150</v>
      </c>
      <c r="H112" s="94" t="s">
        <v>909</v>
      </c>
      <c r="I112" s="78">
        <v>178500000</v>
      </c>
      <c r="J112" s="111">
        <v>0</v>
      </c>
      <c r="K112" s="47">
        <v>178500000</v>
      </c>
      <c r="L112" s="77" t="s">
        <v>84</v>
      </c>
      <c r="M112" s="54">
        <v>901654732</v>
      </c>
      <c r="N112" s="30" t="s">
        <v>120</v>
      </c>
      <c r="O112" s="2" t="s">
        <v>910</v>
      </c>
      <c r="P112" s="56" t="s">
        <v>318</v>
      </c>
      <c r="Q112" s="3"/>
      <c r="R112" s="32">
        <f>+Tabla1513[[#This Row],[VALOR INICIAL DEL CONTRATO CON IVA]]+Tabla1513[[#This Row],[VALOR DE LAS ADICIONES CON IVA]]</f>
        <v>178500000</v>
      </c>
      <c r="S112" s="48">
        <v>365</v>
      </c>
      <c r="T112" s="56" t="s">
        <v>318</v>
      </c>
      <c r="U112" s="58"/>
      <c r="V112" s="56" t="s">
        <v>318</v>
      </c>
      <c r="W112" s="70">
        <v>45602</v>
      </c>
      <c r="X112" s="70">
        <v>45967</v>
      </c>
      <c r="Y112" s="70">
        <v>45967</v>
      </c>
      <c r="Z112" s="72" t="s">
        <v>319</v>
      </c>
      <c r="AA112" s="60"/>
      <c r="AB112" s="56"/>
      <c r="AC112" s="56" t="s">
        <v>312</v>
      </c>
      <c r="AD112" s="34">
        <v>0.16</v>
      </c>
      <c r="AE112" s="34">
        <v>0.16</v>
      </c>
      <c r="AF112" s="35">
        <v>0</v>
      </c>
      <c r="AG112" s="36" t="s">
        <v>911</v>
      </c>
      <c r="AH112" s="63">
        <v>2024</v>
      </c>
    </row>
    <row r="113" spans="1:34" ht="43.5" x14ac:dyDescent="0.35">
      <c r="A113" s="55" t="s">
        <v>330</v>
      </c>
      <c r="B113" s="2" t="s">
        <v>31</v>
      </c>
      <c r="C113" s="30" t="s">
        <v>912</v>
      </c>
      <c r="D113" s="2" t="s">
        <v>313</v>
      </c>
      <c r="E113" s="97" t="s">
        <v>913</v>
      </c>
      <c r="F113" s="70">
        <v>45633</v>
      </c>
      <c r="G113" s="30" t="s">
        <v>150</v>
      </c>
      <c r="H113" s="94" t="s">
        <v>914</v>
      </c>
      <c r="I113" s="101">
        <v>349353680.67226893</v>
      </c>
      <c r="J113" s="101">
        <v>66377199.327731095</v>
      </c>
      <c r="K113" s="47">
        <v>415730880</v>
      </c>
      <c r="L113" s="77" t="s">
        <v>84</v>
      </c>
      <c r="M113" s="54">
        <v>830099766</v>
      </c>
      <c r="N113" s="30" t="s">
        <v>91</v>
      </c>
      <c r="O113" s="2" t="s">
        <v>915</v>
      </c>
      <c r="P113" s="56" t="s">
        <v>318</v>
      </c>
      <c r="Q113" s="3"/>
      <c r="R113" s="32">
        <f>+Tabla1513[[#This Row],[VALOR INICIAL DEL CONTRATO CON IVA]]+Tabla1513[[#This Row],[VALOR DE LAS ADICIONES CON IVA]]</f>
        <v>415730880</v>
      </c>
      <c r="S113" s="48">
        <v>365</v>
      </c>
      <c r="T113" s="56" t="s">
        <v>318</v>
      </c>
      <c r="U113" s="58"/>
      <c r="V113" s="56" t="s">
        <v>318</v>
      </c>
      <c r="W113" s="70">
        <v>45633</v>
      </c>
      <c r="X113" s="70">
        <v>45998</v>
      </c>
      <c r="Y113" s="70">
        <v>45998</v>
      </c>
      <c r="Z113" s="72" t="s">
        <v>319</v>
      </c>
      <c r="AA113" s="60"/>
      <c r="AB113" s="56"/>
      <c r="AC113" s="56" t="s">
        <v>477</v>
      </c>
      <c r="AD113" s="34">
        <v>0.33</v>
      </c>
      <c r="AE113" s="34">
        <v>0.81630000000000003</v>
      </c>
      <c r="AF113" s="35">
        <v>1367852213</v>
      </c>
      <c r="AG113" s="42"/>
      <c r="AH113" s="63">
        <v>2024</v>
      </c>
    </row>
    <row r="114" spans="1:34" ht="29" x14ac:dyDescent="0.35">
      <c r="A114" s="55" t="s">
        <v>330</v>
      </c>
      <c r="B114" s="2" t="s">
        <v>11</v>
      </c>
      <c r="C114" s="30" t="s">
        <v>19</v>
      </c>
      <c r="D114" s="2" t="s">
        <v>313</v>
      </c>
      <c r="E114" s="97" t="s">
        <v>916</v>
      </c>
      <c r="F114" s="70">
        <v>45604</v>
      </c>
      <c r="G114" s="30" t="s">
        <v>150</v>
      </c>
      <c r="H114" s="94" t="s">
        <v>917</v>
      </c>
      <c r="I114" s="32">
        <v>64000000</v>
      </c>
      <c r="J114" s="32">
        <v>12160000</v>
      </c>
      <c r="K114" s="47">
        <v>76160000</v>
      </c>
      <c r="L114" s="77" t="s">
        <v>84</v>
      </c>
      <c r="M114" s="54">
        <v>900494351</v>
      </c>
      <c r="N114" s="30" t="s">
        <v>108</v>
      </c>
      <c r="O114" s="2" t="s">
        <v>918</v>
      </c>
      <c r="P114" s="56" t="s">
        <v>318</v>
      </c>
      <c r="Q114" s="3"/>
      <c r="R114" s="32">
        <f>+Tabla1513[[#This Row],[VALOR INICIAL DEL CONTRATO CON IVA]]+Tabla1513[[#This Row],[VALOR DE LAS ADICIONES CON IVA]]</f>
        <v>76160000</v>
      </c>
      <c r="S114" s="48">
        <v>364</v>
      </c>
      <c r="T114" s="56" t="s">
        <v>318</v>
      </c>
      <c r="U114" s="58"/>
      <c r="V114" s="56" t="s">
        <v>318</v>
      </c>
      <c r="W114" s="70">
        <v>45617</v>
      </c>
      <c r="X114" s="70">
        <v>45981</v>
      </c>
      <c r="Y114" s="70">
        <v>45981</v>
      </c>
      <c r="Z114" s="72" t="s">
        <v>319</v>
      </c>
      <c r="AA114" s="60"/>
      <c r="AB114" s="56"/>
      <c r="AC114" s="56" t="s">
        <v>919</v>
      </c>
      <c r="AD114" s="34">
        <v>0.1099</v>
      </c>
      <c r="AE114" s="34">
        <v>0.74060000000000004</v>
      </c>
      <c r="AF114" s="35">
        <v>48790000</v>
      </c>
      <c r="AG114" s="36" t="s">
        <v>920</v>
      </c>
      <c r="AH114" s="63">
        <v>2024</v>
      </c>
    </row>
    <row r="115" spans="1:34" ht="29" x14ac:dyDescent="0.35">
      <c r="A115" s="55" t="s">
        <v>330</v>
      </c>
      <c r="B115" s="2" t="s">
        <v>473</v>
      </c>
      <c r="C115" s="30" t="s">
        <v>63</v>
      </c>
      <c r="D115" s="2" t="s">
        <v>313</v>
      </c>
      <c r="E115" s="97" t="s">
        <v>921</v>
      </c>
      <c r="F115" s="70">
        <v>45604</v>
      </c>
      <c r="G115" s="30" t="s">
        <v>150</v>
      </c>
      <c r="H115" s="94" t="s">
        <v>922</v>
      </c>
      <c r="I115" s="78">
        <v>178500000</v>
      </c>
      <c r="J115" s="111">
        <v>0</v>
      </c>
      <c r="K115" s="47">
        <v>178500000</v>
      </c>
      <c r="L115" s="77" t="s">
        <v>84</v>
      </c>
      <c r="M115" s="54">
        <v>901257964</v>
      </c>
      <c r="N115" s="30" t="s">
        <v>117</v>
      </c>
      <c r="O115" s="2" t="s">
        <v>923</v>
      </c>
      <c r="P115" s="56" t="s">
        <v>318</v>
      </c>
      <c r="Q115" s="3"/>
      <c r="R115" s="32">
        <f>+Tabla1513[[#This Row],[VALOR INICIAL DEL CONTRATO CON IVA]]+Tabla1513[[#This Row],[VALOR DE LAS ADICIONES CON IVA]]</f>
        <v>178500000</v>
      </c>
      <c r="S115" s="48">
        <v>364</v>
      </c>
      <c r="T115" s="56" t="s">
        <v>318</v>
      </c>
      <c r="U115" s="58"/>
      <c r="V115" s="56" t="s">
        <v>318</v>
      </c>
      <c r="W115" s="70">
        <v>45604</v>
      </c>
      <c r="X115" s="70">
        <v>45968</v>
      </c>
      <c r="Y115" s="70">
        <v>45968</v>
      </c>
      <c r="Z115" s="72" t="s">
        <v>319</v>
      </c>
      <c r="AA115" s="60"/>
      <c r="AB115" s="56"/>
      <c r="AC115" s="56" t="s">
        <v>312</v>
      </c>
      <c r="AD115" s="34">
        <v>0.16</v>
      </c>
      <c r="AE115" s="34">
        <v>0.16</v>
      </c>
      <c r="AF115" s="35">
        <v>0</v>
      </c>
      <c r="AG115" s="42"/>
      <c r="AH115" s="63">
        <v>2024</v>
      </c>
    </row>
    <row r="116" spans="1:34" ht="43.5" x14ac:dyDescent="0.35">
      <c r="A116" s="55" t="s">
        <v>330</v>
      </c>
      <c r="B116" s="2" t="s">
        <v>11</v>
      </c>
      <c r="C116" s="30" t="s">
        <v>20</v>
      </c>
      <c r="D116" s="2" t="s">
        <v>313</v>
      </c>
      <c r="E116" s="97" t="s">
        <v>924</v>
      </c>
      <c r="F116" s="70">
        <v>45608</v>
      </c>
      <c r="G116" s="30" t="s">
        <v>150</v>
      </c>
      <c r="H116" s="94" t="s">
        <v>925</v>
      </c>
      <c r="I116" s="101">
        <v>126050420</v>
      </c>
      <c r="J116" s="101">
        <v>23949580</v>
      </c>
      <c r="K116" s="47">
        <v>150000000</v>
      </c>
      <c r="L116" s="77" t="s">
        <v>84</v>
      </c>
      <c r="M116" s="54">
        <v>900643769</v>
      </c>
      <c r="N116" s="30" t="s">
        <v>123</v>
      </c>
      <c r="O116" s="2" t="s">
        <v>559</v>
      </c>
      <c r="P116" s="56" t="s">
        <v>317</v>
      </c>
      <c r="Q116" s="3">
        <v>90887259</v>
      </c>
      <c r="R116" s="32">
        <f>+Tabla1513[[#This Row],[VALOR INICIAL DEL CONTRATO CON IVA]]+Tabla1513[[#This Row],[VALOR DE LAS ADICIONES CON IVA]]</f>
        <v>240887259</v>
      </c>
      <c r="S116" s="48">
        <v>200</v>
      </c>
      <c r="T116" s="56" t="s">
        <v>317</v>
      </c>
      <c r="U116" s="58">
        <f>+Tabla1513[[#This Row],[FECHA FINAL DEL CONTRATO]]-Tabla1513[[#This Row],[FECHA TERMINACIÓN INICIAL CONTRATO]]</f>
        <v>214</v>
      </c>
      <c r="V116" s="56" t="s">
        <v>318</v>
      </c>
      <c r="W116" s="70">
        <v>45608</v>
      </c>
      <c r="X116" s="70">
        <v>45808</v>
      </c>
      <c r="Y116" s="70">
        <v>46022</v>
      </c>
      <c r="Z116" s="72" t="s">
        <v>319</v>
      </c>
      <c r="AA116" s="60"/>
      <c r="AB116" s="56"/>
      <c r="AC116" s="56" t="s">
        <v>560</v>
      </c>
      <c r="AD116" s="34">
        <v>0.42</v>
      </c>
      <c r="AE116" s="34">
        <v>0.31</v>
      </c>
      <c r="AF116" s="35">
        <v>46343473</v>
      </c>
      <c r="AG116" s="36" t="s">
        <v>926</v>
      </c>
      <c r="AH116" s="63">
        <v>2024</v>
      </c>
    </row>
    <row r="117" spans="1:34" ht="29" x14ac:dyDescent="0.35">
      <c r="A117" s="55" t="s">
        <v>330</v>
      </c>
      <c r="B117" s="2" t="s">
        <v>11</v>
      </c>
      <c r="C117" s="30" t="s">
        <v>12</v>
      </c>
      <c r="D117" s="2" t="s">
        <v>313</v>
      </c>
      <c r="E117" s="97" t="s">
        <v>927</v>
      </c>
      <c r="F117" s="70">
        <v>45609</v>
      </c>
      <c r="G117" s="30" t="s">
        <v>150</v>
      </c>
      <c r="H117" s="94" t="s">
        <v>928</v>
      </c>
      <c r="I117" s="112">
        <v>36000000</v>
      </c>
      <c r="J117" s="111">
        <v>6840000</v>
      </c>
      <c r="K117" s="33">
        <v>42840000</v>
      </c>
      <c r="L117" s="77" t="s">
        <v>84</v>
      </c>
      <c r="M117" s="54">
        <v>900517262</v>
      </c>
      <c r="N117" s="30" t="s">
        <v>120</v>
      </c>
      <c r="O117" s="2" t="s">
        <v>929</v>
      </c>
      <c r="P117" s="56" t="s">
        <v>318</v>
      </c>
      <c r="Q117" s="3"/>
      <c r="R117" s="32">
        <f>+Tabla1513[[#This Row],[VALOR INICIAL DEL CONTRATO CON IVA]]+Tabla1513[[#This Row],[VALOR DE LAS ADICIONES CON IVA]]</f>
        <v>42840000</v>
      </c>
      <c r="S117" s="48">
        <v>48</v>
      </c>
      <c r="T117" s="56" t="s">
        <v>317</v>
      </c>
      <c r="U117" s="58">
        <v>365</v>
      </c>
      <c r="V117" s="59" t="s">
        <v>318</v>
      </c>
      <c r="W117" s="70">
        <v>45609</v>
      </c>
      <c r="X117" s="70">
        <v>45657</v>
      </c>
      <c r="Y117" s="70">
        <v>46022</v>
      </c>
      <c r="Z117" s="72" t="s">
        <v>319</v>
      </c>
      <c r="AA117" s="60"/>
      <c r="AB117" s="56"/>
      <c r="AC117" s="56" t="s">
        <v>472</v>
      </c>
      <c r="AD117" s="34">
        <v>0.12</v>
      </c>
      <c r="AE117" s="34">
        <v>0.60419999999999996</v>
      </c>
      <c r="AF117" s="35">
        <v>25882500</v>
      </c>
      <c r="AG117" s="36" t="s">
        <v>930</v>
      </c>
      <c r="AH117" s="63">
        <v>2024</v>
      </c>
    </row>
    <row r="118" spans="1:34" ht="29" x14ac:dyDescent="0.35">
      <c r="A118" s="55" t="s">
        <v>330</v>
      </c>
      <c r="B118" s="2" t="s">
        <v>473</v>
      </c>
      <c r="C118" s="30" t="s">
        <v>63</v>
      </c>
      <c r="D118" s="2" t="s">
        <v>313</v>
      </c>
      <c r="E118" s="97" t="s">
        <v>931</v>
      </c>
      <c r="F118" s="70">
        <v>45609</v>
      </c>
      <c r="G118" s="30" t="s">
        <v>150</v>
      </c>
      <c r="H118" s="94" t="s">
        <v>932</v>
      </c>
      <c r="I118" s="78">
        <v>178500000</v>
      </c>
      <c r="J118" s="111">
        <v>0</v>
      </c>
      <c r="K118" s="47">
        <v>178500000</v>
      </c>
      <c r="L118" s="77" t="s">
        <v>84</v>
      </c>
      <c r="M118" s="54">
        <v>900713651</v>
      </c>
      <c r="N118" s="30" t="s">
        <v>91</v>
      </c>
      <c r="O118" s="2" t="s">
        <v>933</v>
      </c>
      <c r="P118" s="56" t="s">
        <v>318</v>
      </c>
      <c r="Q118" s="3"/>
      <c r="R118" s="32">
        <f>+Tabla1513[[#This Row],[VALOR INICIAL DEL CONTRATO CON IVA]]+Tabla1513[[#This Row],[VALOR DE LAS ADICIONES CON IVA]]</f>
        <v>178500000</v>
      </c>
      <c r="S118" s="48">
        <v>365</v>
      </c>
      <c r="T118" s="56" t="s">
        <v>318</v>
      </c>
      <c r="U118" s="58"/>
      <c r="V118" s="56" t="s">
        <v>318</v>
      </c>
      <c r="W118" s="70">
        <v>45609</v>
      </c>
      <c r="X118" s="70">
        <v>45974</v>
      </c>
      <c r="Y118" s="70">
        <v>45974</v>
      </c>
      <c r="Z118" s="72" t="s">
        <v>319</v>
      </c>
      <c r="AA118" s="60"/>
      <c r="AB118" s="56"/>
      <c r="AC118" s="56" t="s">
        <v>312</v>
      </c>
      <c r="AD118" s="34">
        <v>0.16</v>
      </c>
      <c r="AE118" s="34">
        <v>0.16</v>
      </c>
      <c r="AF118" s="35">
        <v>0</v>
      </c>
      <c r="AG118" s="36" t="s">
        <v>880</v>
      </c>
      <c r="AH118" s="63">
        <v>2024</v>
      </c>
    </row>
    <row r="119" spans="1:34" ht="43.5" x14ac:dyDescent="0.35">
      <c r="A119" s="55" t="s">
        <v>330</v>
      </c>
      <c r="B119" s="2" t="s">
        <v>31</v>
      </c>
      <c r="C119" s="30" t="s">
        <v>912</v>
      </c>
      <c r="D119" s="2" t="s">
        <v>313</v>
      </c>
      <c r="E119" s="97" t="s">
        <v>934</v>
      </c>
      <c r="F119" s="70">
        <v>45610</v>
      </c>
      <c r="G119" s="30" t="s">
        <v>150</v>
      </c>
      <c r="H119" s="94" t="s">
        <v>935</v>
      </c>
      <c r="I119" s="101">
        <v>401684391.59663868</v>
      </c>
      <c r="J119" s="101">
        <v>76320034.40336135</v>
      </c>
      <c r="K119" s="47">
        <v>478004426</v>
      </c>
      <c r="L119" s="77" t="s">
        <v>84</v>
      </c>
      <c r="M119" s="54">
        <v>800103052</v>
      </c>
      <c r="N119" s="30" t="s">
        <v>120</v>
      </c>
      <c r="O119" s="2" t="s">
        <v>515</v>
      </c>
      <c r="P119" s="56" t="s">
        <v>318</v>
      </c>
      <c r="Q119" s="3"/>
      <c r="R119" s="32">
        <f>+Tabla1513[[#This Row],[VALOR INICIAL DEL CONTRATO CON IVA]]+Tabla1513[[#This Row],[VALOR DE LAS ADICIONES CON IVA]]</f>
        <v>478004426</v>
      </c>
      <c r="S119" s="48">
        <v>729</v>
      </c>
      <c r="T119" s="56" t="s">
        <v>318</v>
      </c>
      <c r="U119" s="58"/>
      <c r="V119" s="56" t="s">
        <v>318</v>
      </c>
      <c r="W119" s="70">
        <v>45717</v>
      </c>
      <c r="X119" s="70">
        <v>46446</v>
      </c>
      <c r="Y119" s="70">
        <v>46446</v>
      </c>
      <c r="Z119" s="72" t="s">
        <v>319</v>
      </c>
      <c r="AA119" s="60"/>
      <c r="AB119" s="56"/>
      <c r="AC119" s="56" t="s">
        <v>477</v>
      </c>
      <c r="AD119" s="34">
        <v>0</v>
      </c>
      <c r="AE119" s="34">
        <v>0</v>
      </c>
      <c r="AF119" s="35">
        <v>0</v>
      </c>
      <c r="AG119" s="36" t="s">
        <v>936</v>
      </c>
      <c r="AH119" s="63">
        <v>2024</v>
      </c>
    </row>
    <row r="120" spans="1:34" ht="29" x14ac:dyDescent="0.35">
      <c r="A120" s="55" t="s">
        <v>330</v>
      </c>
      <c r="B120" s="2" t="s">
        <v>473</v>
      </c>
      <c r="C120" s="30" t="s">
        <v>63</v>
      </c>
      <c r="D120" s="2" t="s">
        <v>313</v>
      </c>
      <c r="E120" s="97" t="s">
        <v>937</v>
      </c>
      <c r="F120" s="70">
        <v>45611</v>
      </c>
      <c r="G120" s="30" t="s">
        <v>150</v>
      </c>
      <c r="H120" s="94" t="s">
        <v>793</v>
      </c>
      <c r="I120" s="78">
        <v>178500000</v>
      </c>
      <c r="J120" s="111">
        <v>0</v>
      </c>
      <c r="K120" s="47">
        <v>178500000</v>
      </c>
      <c r="L120" s="77" t="s">
        <v>84</v>
      </c>
      <c r="M120" s="54">
        <v>830094544</v>
      </c>
      <c r="N120" s="30" t="s">
        <v>123</v>
      </c>
      <c r="O120" s="2" t="s">
        <v>938</v>
      </c>
      <c r="P120" s="56" t="s">
        <v>318</v>
      </c>
      <c r="Q120" s="3"/>
      <c r="R120" s="32">
        <f>+Tabla1513[[#This Row],[VALOR INICIAL DEL CONTRATO CON IVA]]+Tabla1513[[#This Row],[VALOR DE LAS ADICIONES CON IVA]]</f>
        <v>178500000</v>
      </c>
      <c r="S120" s="48">
        <v>365</v>
      </c>
      <c r="T120" s="56" t="s">
        <v>318</v>
      </c>
      <c r="U120" s="58"/>
      <c r="V120" s="56" t="s">
        <v>318</v>
      </c>
      <c r="W120" s="70">
        <v>45611</v>
      </c>
      <c r="X120" s="70">
        <v>45976</v>
      </c>
      <c r="Y120" s="70">
        <v>45976</v>
      </c>
      <c r="Z120" s="72" t="s">
        <v>319</v>
      </c>
      <c r="AA120" s="60"/>
      <c r="AB120" s="56"/>
      <c r="AC120" s="56" t="s">
        <v>312</v>
      </c>
      <c r="AD120" s="34">
        <v>0.16</v>
      </c>
      <c r="AE120" s="34">
        <v>0.16</v>
      </c>
      <c r="AF120" s="35">
        <v>19335016</v>
      </c>
      <c r="AG120" s="36" t="s">
        <v>939</v>
      </c>
      <c r="AH120" s="63">
        <v>2024</v>
      </c>
    </row>
    <row r="121" spans="1:34" ht="43.5" x14ac:dyDescent="0.35">
      <c r="A121" s="55" t="s">
        <v>330</v>
      </c>
      <c r="B121" s="2" t="s">
        <v>310</v>
      </c>
      <c r="C121" s="30" t="s">
        <v>25</v>
      </c>
      <c r="D121" s="2" t="s">
        <v>412</v>
      </c>
      <c r="E121" s="97" t="s">
        <v>940</v>
      </c>
      <c r="F121" s="70">
        <v>45621</v>
      </c>
      <c r="G121" s="30" t="s">
        <v>1190</v>
      </c>
      <c r="H121" s="94" t="s">
        <v>941</v>
      </c>
      <c r="I121" s="111">
        <v>16943823060</v>
      </c>
      <c r="J121" s="111">
        <v>3219326381</v>
      </c>
      <c r="K121" s="47">
        <v>20163149441</v>
      </c>
      <c r="L121" s="77" t="s">
        <v>84</v>
      </c>
      <c r="M121" s="54">
        <v>901882218</v>
      </c>
      <c r="N121" s="30" t="s">
        <v>85</v>
      </c>
      <c r="O121" s="2" t="s">
        <v>942</v>
      </c>
      <c r="P121" s="56" t="s">
        <v>318</v>
      </c>
      <c r="Q121" s="3"/>
      <c r="R121" s="32">
        <f>+Tabla1513[[#This Row],[VALOR INICIAL DEL CONTRATO CON IVA]]+Tabla1513[[#This Row],[VALOR DE LAS ADICIONES CON IVA]]</f>
        <v>20163149441</v>
      </c>
      <c r="S121" s="48">
        <v>1095</v>
      </c>
      <c r="T121" s="56" t="s">
        <v>318</v>
      </c>
      <c r="U121" s="58"/>
      <c r="V121" s="56" t="s">
        <v>318</v>
      </c>
      <c r="W121" s="70">
        <v>45621</v>
      </c>
      <c r="X121" s="70">
        <v>46716</v>
      </c>
      <c r="Y121" s="70">
        <v>46716</v>
      </c>
      <c r="Z121" s="72" t="s">
        <v>319</v>
      </c>
      <c r="AA121" s="60"/>
      <c r="AB121" s="56"/>
      <c r="AC121" s="56" t="s">
        <v>943</v>
      </c>
      <c r="AD121" s="34">
        <v>0</v>
      </c>
      <c r="AE121" s="34">
        <v>0</v>
      </c>
      <c r="AF121" s="35">
        <v>0</v>
      </c>
      <c r="AG121" s="42"/>
      <c r="AH121" s="63">
        <v>2024</v>
      </c>
    </row>
    <row r="122" spans="1:34" ht="43.5" x14ac:dyDescent="0.35">
      <c r="A122" s="55" t="s">
        <v>330</v>
      </c>
      <c r="B122" s="2" t="s">
        <v>31</v>
      </c>
      <c r="C122" s="30" t="s">
        <v>912</v>
      </c>
      <c r="D122" s="2" t="s">
        <v>313</v>
      </c>
      <c r="E122" s="97" t="s">
        <v>944</v>
      </c>
      <c r="F122" s="70">
        <v>45622</v>
      </c>
      <c r="G122" s="30" t="s">
        <v>150</v>
      </c>
      <c r="H122" s="94" t="s">
        <v>945</v>
      </c>
      <c r="I122" s="101">
        <v>17170386.554621849</v>
      </c>
      <c r="J122" s="101">
        <v>3262373.4453781513</v>
      </c>
      <c r="K122" s="47">
        <v>20432760</v>
      </c>
      <c r="L122" s="77" t="s">
        <v>84</v>
      </c>
      <c r="M122" s="54">
        <v>800103052</v>
      </c>
      <c r="N122" s="30" t="s">
        <v>120</v>
      </c>
      <c r="O122" s="2" t="s">
        <v>515</v>
      </c>
      <c r="P122" s="56" t="s">
        <v>318</v>
      </c>
      <c r="Q122" s="3"/>
      <c r="R122" s="32">
        <f>+Tabla1513[[#This Row],[VALOR INICIAL DEL CONTRATO CON IVA]]+Tabla1513[[#This Row],[VALOR DE LAS ADICIONES CON IVA]]</f>
        <v>20432760</v>
      </c>
      <c r="S122" s="48">
        <v>729</v>
      </c>
      <c r="T122" s="56" t="s">
        <v>318</v>
      </c>
      <c r="U122" s="58"/>
      <c r="V122" s="56" t="s">
        <v>318</v>
      </c>
      <c r="W122" s="70">
        <v>45642</v>
      </c>
      <c r="X122" s="70">
        <v>46371</v>
      </c>
      <c r="Y122" s="70">
        <v>46371</v>
      </c>
      <c r="Z122" s="72" t="s">
        <v>319</v>
      </c>
      <c r="AA122" s="60"/>
      <c r="AB122" s="56"/>
      <c r="AC122" s="56" t="s">
        <v>477</v>
      </c>
      <c r="AD122" s="34">
        <v>6.1600000000000002E-2</v>
      </c>
      <c r="AE122" s="34">
        <v>1</v>
      </c>
      <c r="AF122" s="35">
        <v>20432760</v>
      </c>
      <c r="AG122" s="36" t="s">
        <v>946</v>
      </c>
      <c r="AH122" s="63">
        <v>2024</v>
      </c>
    </row>
    <row r="123" spans="1:34" ht="43.5" x14ac:dyDescent="0.35">
      <c r="A123" s="55" t="s">
        <v>330</v>
      </c>
      <c r="B123" s="2" t="s">
        <v>440</v>
      </c>
      <c r="C123" s="30" t="s">
        <v>818</v>
      </c>
      <c r="D123" s="2" t="s">
        <v>313</v>
      </c>
      <c r="E123" s="97" t="s">
        <v>948</v>
      </c>
      <c r="F123" s="70">
        <v>45622</v>
      </c>
      <c r="G123" s="30" t="s">
        <v>150</v>
      </c>
      <c r="H123" s="94" t="s">
        <v>949</v>
      </c>
      <c r="I123" s="101">
        <v>1500000000</v>
      </c>
      <c r="J123" s="111">
        <v>0</v>
      </c>
      <c r="K123" s="47">
        <v>1500000000</v>
      </c>
      <c r="L123" s="77" t="s">
        <v>84</v>
      </c>
      <c r="M123" s="54">
        <v>830013802</v>
      </c>
      <c r="N123" s="30" t="s">
        <v>120</v>
      </c>
      <c r="O123" s="2" t="s">
        <v>629</v>
      </c>
      <c r="P123" s="56" t="s">
        <v>318</v>
      </c>
      <c r="Q123" s="3"/>
      <c r="R123" s="32">
        <f>+Tabla1513[[#This Row],[VALOR INICIAL DEL CONTRATO CON IVA]]+Tabla1513[[#This Row],[VALOR DE LAS ADICIONES CON IVA]]</f>
        <v>1500000000</v>
      </c>
      <c r="S123" s="48">
        <v>365</v>
      </c>
      <c r="T123" s="56" t="s">
        <v>318</v>
      </c>
      <c r="U123" s="58"/>
      <c r="V123" s="56" t="s">
        <v>318</v>
      </c>
      <c r="W123" s="70">
        <v>45671</v>
      </c>
      <c r="X123" s="70">
        <v>46036</v>
      </c>
      <c r="Y123" s="70">
        <v>46036</v>
      </c>
      <c r="Z123" s="72" t="s">
        <v>319</v>
      </c>
      <c r="AA123" s="60"/>
      <c r="AB123" s="56"/>
      <c r="AC123" s="56" t="s">
        <v>312</v>
      </c>
      <c r="AD123" s="34">
        <v>0</v>
      </c>
      <c r="AE123" s="34">
        <v>0</v>
      </c>
      <c r="AF123" s="35">
        <v>0</v>
      </c>
      <c r="AG123" s="42"/>
      <c r="AH123" s="63">
        <v>2024</v>
      </c>
    </row>
    <row r="124" spans="1:34" ht="72.5" x14ac:dyDescent="0.35">
      <c r="A124" s="55" t="s">
        <v>330</v>
      </c>
      <c r="B124" s="2" t="s">
        <v>310</v>
      </c>
      <c r="C124" s="30" t="s">
        <v>27</v>
      </c>
      <c r="D124" s="2" t="s">
        <v>412</v>
      </c>
      <c r="E124" s="97" t="s">
        <v>950</v>
      </c>
      <c r="F124" s="70">
        <v>45622</v>
      </c>
      <c r="G124" s="30" t="s">
        <v>150</v>
      </c>
      <c r="H124" s="94" t="s">
        <v>951</v>
      </c>
      <c r="I124" s="112">
        <v>3244634348</v>
      </c>
      <c r="J124" s="111">
        <v>616480523</v>
      </c>
      <c r="K124" s="33">
        <v>3861114871</v>
      </c>
      <c r="L124" s="77" t="s">
        <v>84</v>
      </c>
      <c r="M124" s="54">
        <v>800000457</v>
      </c>
      <c r="N124" s="30" t="s">
        <v>108</v>
      </c>
      <c r="O124" s="2" t="s">
        <v>547</v>
      </c>
      <c r="P124" s="56" t="s">
        <v>317</v>
      </c>
      <c r="Q124" s="3">
        <v>667381293</v>
      </c>
      <c r="R124" s="32">
        <f>+Tabla1513[[#This Row],[VALOR INICIAL DEL CONTRATO CON IVA]]+Tabla1513[[#This Row],[VALOR DE LAS ADICIONES CON IVA]]</f>
        <v>4528496164</v>
      </c>
      <c r="S124" s="48">
        <v>547</v>
      </c>
      <c r="T124" s="56" t="s">
        <v>318</v>
      </c>
      <c r="U124" s="58"/>
      <c r="V124" s="56" t="s">
        <v>318</v>
      </c>
      <c r="W124" s="70">
        <v>45627</v>
      </c>
      <c r="X124" s="70">
        <v>46174</v>
      </c>
      <c r="Y124" s="70">
        <v>46174</v>
      </c>
      <c r="Z124" s="72" t="s">
        <v>319</v>
      </c>
      <c r="AA124" s="60"/>
      <c r="AB124" s="56"/>
      <c r="AC124" s="56" t="s">
        <v>952</v>
      </c>
      <c r="AD124" s="34">
        <v>9.6699999999999994E-2</v>
      </c>
      <c r="AE124" s="34">
        <v>9.6699999999999994E-2</v>
      </c>
      <c r="AF124" s="35">
        <v>373260935.75</v>
      </c>
      <c r="AG124" s="75" t="s">
        <v>953</v>
      </c>
      <c r="AH124" s="63">
        <v>2024</v>
      </c>
    </row>
    <row r="125" spans="1:34" ht="101.5" x14ac:dyDescent="0.35">
      <c r="A125" s="55" t="s">
        <v>330</v>
      </c>
      <c r="B125" s="2" t="s">
        <v>31</v>
      </c>
      <c r="C125" s="30" t="s">
        <v>954</v>
      </c>
      <c r="D125" s="2" t="s">
        <v>313</v>
      </c>
      <c r="E125" s="97" t="s">
        <v>955</v>
      </c>
      <c r="F125" s="70">
        <v>45624</v>
      </c>
      <c r="G125" s="30" t="s">
        <v>150</v>
      </c>
      <c r="H125" s="94" t="s">
        <v>956</v>
      </c>
      <c r="I125" s="101">
        <v>54621848.739495799</v>
      </c>
      <c r="J125" s="101">
        <v>10378151.260504201</v>
      </c>
      <c r="K125" s="47">
        <v>65000000</v>
      </c>
      <c r="L125" s="77" t="s">
        <v>84</v>
      </c>
      <c r="M125" s="54">
        <v>900032159</v>
      </c>
      <c r="N125" s="30" t="s">
        <v>108</v>
      </c>
      <c r="O125" s="2" t="s">
        <v>456</v>
      </c>
      <c r="P125" s="56" t="s">
        <v>318</v>
      </c>
      <c r="Q125" s="3"/>
      <c r="R125" s="32">
        <f>+Tabla1513[[#This Row],[VALOR INICIAL DEL CONTRATO CON IVA]]+Tabla1513[[#This Row],[VALOR DE LAS ADICIONES CON IVA]]</f>
        <v>65000000</v>
      </c>
      <c r="S125" s="48">
        <v>365</v>
      </c>
      <c r="T125" s="56" t="s">
        <v>318</v>
      </c>
      <c r="U125" s="58"/>
      <c r="V125" s="56" t="s">
        <v>318</v>
      </c>
      <c r="W125" s="70">
        <v>45624</v>
      </c>
      <c r="X125" s="70">
        <v>45989</v>
      </c>
      <c r="Y125" s="70">
        <v>45989</v>
      </c>
      <c r="Z125" s="72" t="s">
        <v>319</v>
      </c>
      <c r="AA125" s="60"/>
      <c r="AB125" s="56"/>
      <c r="AC125" s="56" t="s">
        <v>558</v>
      </c>
      <c r="AD125" s="34">
        <v>0</v>
      </c>
      <c r="AE125" s="34">
        <v>0</v>
      </c>
      <c r="AF125" s="35">
        <v>0</v>
      </c>
      <c r="AG125" s="42"/>
      <c r="AH125" s="63">
        <v>2024</v>
      </c>
    </row>
    <row r="126" spans="1:34" ht="58" x14ac:dyDescent="0.35">
      <c r="A126" s="55" t="s">
        <v>330</v>
      </c>
      <c r="B126" s="2" t="s">
        <v>310</v>
      </c>
      <c r="C126" s="30" t="s">
        <v>869</v>
      </c>
      <c r="D126" s="2" t="s">
        <v>313</v>
      </c>
      <c r="E126" s="97" t="s">
        <v>957</v>
      </c>
      <c r="F126" s="70">
        <v>45644</v>
      </c>
      <c r="G126" s="30" t="s">
        <v>150</v>
      </c>
      <c r="H126" s="94" t="s">
        <v>958</v>
      </c>
      <c r="I126" s="111">
        <v>11710150</v>
      </c>
      <c r="J126" s="111">
        <v>2224929</v>
      </c>
      <c r="K126" s="47">
        <v>13935079</v>
      </c>
      <c r="L126" s="77" t="s">
        <v>84</v>
      </c>
      <c r="M126" s="54">
        <v>800129465</v>
      </c>
      <c r="N126" s="30" t="s">
        <v>123</v>
      </c>
      <c r="O126" s="2" t="s">
        <v>959</v>
      </c>
      <c r="P126" s="56" t="s">
        <v>318</v>
      </c>
      <c r="Q126" s="3"/>
      <c r="R126" s="32">
        <f>+Tabla1513[[#This Row],[VALOR INICIAL DEL CONTRATO CON IVA]]+Tabla1513[[#This Row],[VALOR DE LAS ADICIONES CON IVA]]</f>
        <v>13935079</v>
      </c>
      <c r="S126" s="48">
        <v>365</v>
      </c>
      <c r="T126" s="56" t="s">
        <v>318</v>
      </c>
      <c r="U126" s="58"/>
      <c r="V126" s="56" t="s">
        <v>318</v>
      </c>
      <c r="W126" s="70">
        <v>45644</v>
      </c>
      <c r="X126" s="70">
        <v>46009</v>
      </c>
      <c r="Y126" s="70">
        <v>46009</v>
      </c>
      <c r="Z126" s="72" t="s">
        <v>319</v>
      </c>
      <c r="AA126" s="60"/>
      <c r="AB126" s="56"/>
      <c r="AC126" s="56" t="s">
        <v>1044</v>
      </c>
      <c r="AD126" s="34">
        <v>0.04</v>
      </c>
      <c r="AE126" s="34">
        <v>0.04</v>
      </c>
      <c r="AF126" s="35">
        <v>0</v>
      </c>
      <c r="AG126" s="36" t="s">
        <v>960</v>
      </c>
      <c r="AH126" s="63">
        <v>2024</v>
      </c>
    </row>
    <row r="127" spans="1:34" ht="58" x14ac:dyDescent="0.35">
      <c r="A127" s="55" t="s">
        <v>330</v>
      </c>
      <c r="B127" s="2" t="s">
        <v>11</v>
      </c>
      <c r="C127" s="30" t="s">
        <v>19</v>
      </c>
      <c r="D127" s="2" t="s">
        <v>313</v>
      </c>
      <c r="E127" s="97" t="s">
        <v>961</v>
      </c>
      <c r="F127" s="70">
        <v>45645</v>
      </c>
      <c r="G127" s="30" t="s">
        <v>142</v>
      </c>
      <c r="H127" s="94" t="s">
        <v>962</v>
      </c>
      <c r="I127" s="32">
        <v>51579779</v>
      </c>
      <c r="J127" s="32">
        <v>9800159</v>
      </c>
      <c r="K127" s="47">
        <v>61379938</v>
      </c>
      <c r="L127" s="77" t="s">
        <v>84</v>
      </c>
      <c r="M127" s="54">
        <v>900259889</v>
      </c>
      <c r="N127" s="30" t="s">
        <v>120</v>
      </c>
      <c r="O127" s="2" t="s">
        <v>963</v>
      </c>
      <c r="P127" s="56" t="s">
        <v>318</v>
      </c>
      <c r="Q127" s="3"/>
      <c r="R127" s="32">
        <f>+Tabla1513[[#This Row],[VALOR INICIAL DEL CONTRATO CON IVA]]+Tabla1513[[#This Row],[VALOR DE LAS ADICIONES CON IVA]]</f>
        <v>61379938</v>
      </c>
      <c r="S127" s="48">
        <v>1826</v>
      </c>
      <c r="T127" s="56" t="s">
        <v>318</v>
      </c>
      <c r="U127" s="58"/>
      <c r="V127" s="56" t="s">
        <v>318</v>
      </c>
      <c r="W127" s="70">
        <v>45645</v>
      </c>
      <c r="X127" s="70">
        <v>47471</v>
      </c>
      <c r="Y127" s="70">
        <v>47471</v>
      </c>
      <c r="Z127" s="72" t="s">
        <v>319</v>
      </c>
      <c r="AA127" s="60"/>
      <c r="AB127" s="56"/>
      <c r="AC127" s="56" t="s">
        <v>964</v>
      </c>
      <c r="AD127" s="34">
        <v>6.6E-3</v>
      </c>
      <c r="AE127" s="34">
        <v>0</v>
      </c>
      <c r="AF127" s="35">
        <v>0</v>
      </c>
      <c r="AG127" s="36" t="s">
        <v>965</v>
      </c>
      <c r="AH127" s="63">
        <v>2024</v>
      </c>
    </row>
    <row r="128" spans="1:34" ht="43.5" x14ac:dyDescent="0.35">
      <c r="A128" s="55" t="s">
        <v>330</v>
      </c>
      <c r="B128" s="2" t="s">
        <v>31</v>
      </c>
      <c r="C128" s="30" t="s">
        <v>35</v>
      </c>
      <c r="D128" s="2" t="s">
        <v>313</v>
      </c>
      <c r="E128" s="97" t="s">
        <v>966</v>
      </c>
      <c r="F128" s="70">
        <v>45646</v>
      </c>
      <c r="G128" s="30" t="s">
        <v>150</v>
      </c>
      <c r="H128" s="94" t="s">
        <v>967</v>
      </c>
      <c r="I128" s="101">
        <v>29395373.109243698</v>
      </c>
      <c r="J128" s="101">
        <v>5585120.8907563025</v>
      </c>
      <c r="K128" s="47">
        <v>34980494</v>
      </c>
      <c r="L128" s="77" t="s">
        <v>84</v>
      </c>
      <c r="M128" s="54">
        <v>800210453</v>
      </c>
      <c r="N128" s="30" t="s">
        <v>114</v>
      </c>
      <c r="O128" s="2" t="s">
        <v>968</v>
      </c>
      <c r="P128" s="56" t="s">
        <v>318</v>
      </c>
      <c r="Q128" s="3"/>
      <c r="R128" s="32">
        <f>+Tabla1513[[#This Row],[VALOR INICIAL DEL CONTRATO CON IVA]]+Tabla1513[[#This Row],[VALOR DE LAS ADICIONES CON IVA]]</f>
        <v>34980494</v>
      </c>
      <c r="S128" s="48">
        <v>730</v>
      </c>
      <c r="T128" s="56" t="s">
        <v>318</v>
      </c>
      <c r="U128" s="58"/>
      <c r="V128" s="56" t="s">
        <v>318</v>
      </c>
      <c r="W128" s="70">
        <v>45646</v>
      </c>
      <c r="X128" s="70">
        <v>46376</v>
      </c>
      <c r="Y128" s="70">
        <v>46376</v>
      </c>
      <c r="Z128" s="72" t="s">
        <v>319</v>
      </c>
      <c r="AA128" s="60"/>
      <c r="AB128" s="56"/>
      <c r="AC128" s="56" t="s">
        <v>558</v>
      </c>
      <c r="AD128" s="34">
        <v>0</v>
      </c>
      <c r="AE128" s="34">
        <v>0</v>
      </c>
      <c r="AF128" s="35">
        <v>0</v>
      </c>
      <c r="AG128" s="42"/>
      <c r="AH128" s="63">
        <v>2024</v>
      </c>
    </row>
    <row r="129" spans="1:34" ht="29" x14ac:dyDescent="0.35">
      <c r="A129" s="55" t="s">
        <v>330</v>
      </c>
      <c r="B129" s="2" t="s">
        <v>4</v>
      </c>
      <c r="C129" s="30" t="s">
        <v>579</v>
      </c>
      <c r="D129" s="2" t="s">
        <v>313</v>
      </c>
      <c r="E129" s="97" t="s">
        <v>969</v>
      </c>
      <c r="F129" s="70">
        <v>45652</v>
      </c>
      <c r="G129" s="30" t="s">
        <v>150</v>
      </c>
      <c r="H129" s="94" t="s">
        <v>970</v>
      </c>
      <c r="I129" s="111">
        <v>397453510</v>
      </c>
      <c r="J129" s="111">
        <v>75516166</v>
      </c>
      <c r="K129" s="47">
        <v>472969676</v>
      </c>
      <c r="L129" s="77" t="s">
        <v>84</v>
      </c>
      <c r="M129" s="54">
        <v>900032159</v>
      </c>
      <c r="N129" s="30" t="s">
        <v>108</v>
      </c>
      <c r="O129" s="2" t="s">
        <v>456</v>
      </c>
      <c r="P129" s="56" t="s">
        <v>318</v>
      </c>
      <c r="Q129" s="3"/>
      <c r="R129" s="32">
        <f>+Tabla1513[[#This Row],[VALOR INICIAL DEL CONTRATO CON IVA]]+Tabla1513[[#This Row],[VALOR DE LAS ADICIONES CON IVA]]</f>
        <v>472969676</v>
      </c>
      <c r="S129" s="48">
        <v>730</v>
      </c>
      <c r="T129" s="56" t="s">
        <v>318</v>
      </c>
      <c r="U129" s="58"/>
      <c r="V129" s="56" t="s">
        <v>318</v>
      </c>
      <c r="W129" s="70">
        <v>45652</v>
      </c>
      <c r="X129" s="70">
        <v>46382</v>
      </c>
      <c r="Y129" s="70">
        <v>46382</v>
      </c>
      <c r="Z129" s="72" t="s">
        <v>319</v>
      </c>
      <c r="AA129" s="60"/>
      <c r="AB129" s="56"/>
      <c r="AC129" s="56" t="s">
        <v>434</v>
      </c>
      <c r="AD129" s="34">
        <v>0</v>
      </c>
      <c r="AE129" s="34">
        <v>0</v>
      </c>
      <c r="AF129" s="35">
        <v>0</v>
      </c>
      <c r="AG129" s="42"/>
      <c r="AH129" s="63">
        <v>2024</v>
      </c>
    </row>
    <row r="130" spans="1:34" ht="43.5" x14ac:dyDescent="0.35">
      <c r="A130" s="55" t="s">
        <v>330</v>
      </c>
      <c r="B130" s="2" t="s">
        <v>31</v>
      </c>
      <c r="C130" s="30" t="s">
        <v>484</v>
      </c>
      <c r="D130" s="2" t="s">
        <v>313</v>
      </c>
      <c r="E130" s="97" t="s">
        <v>971</v>
      </c>
      <c r="F130" s="70">
        <v>45652</v>
      </c>
      <c r="G130" s="30" t="s">
        <v>150</v>
      </c>
      <c r="H130" s="94" t="s">
        <v>972</v>
      </c>
      <c r="I130" s="111">
        <v>15850000</v>
      </c>
      <c r="J130" s="111">
        <v>0</v>
      </c>
      <c r="K130" s="47">
        <v>15850000</v>
      </c>
      <c r="L130" s="77" t="s">
        <v>84</v>
      </c>
      <c r="M130" s="54">
        <v>901033334</v>
      </c>
      <c r="N130" s="30" t="s">
        <v>111</v>
      </c>
      <c r="O130" s="2" t="s">
        <v>973</v>
      </c>
      <c r="P130" s="56" t="s">
        <v>318</v>
      </c>
      <c r="Q130" s="3"/>
      <c r="R130" s="32">
        <f>+Tabla1513[[#This Row],[VALOR INICIAL DEL CONTRATO CON IVA]]+Tabla1513[[#This Row],[VALOR DE LAS ADICIONES CON IVA]]</f>
        <v>15850000</v>
      </c>
      <c r="S130" s="48">
        <v>365</v>
      </c>
      <c r="T130" s="56" t="s">
        <v>318</v>
      </c>
      <c r="U130" s="58"/>
      <c r="V130" s="56" t="s">
        <v>318</v>
      </c>
      <c r="W130" s="70">
        <v>45653</v>
      </c>
      <c r="X130" s="70">
        <v>46018</v>
      </c>
      <c r="Y130" s="70">
        <v>46018</v>
      </c>
      <c r="Z130" s="72" t="s">
        <v>319</v>
      </c>
      <c r="AA130" s="60"/>
      <c r="AB130" s="56"/>
      <c r="AC130" s="56" t="s">
        <v>684</v>
      </c>
      <c r="AD130" s="34">
        <v>0</v>
      </c>
      <c r="AE130" s="34">
        <v>0</v>
      </c>
      <c r="AF130" s="35">
        <v>0</v>
      </c>
      <c r="AG130" s="36" t="s">
        <v>974</v>
      </c>
      <c r="AH130" s="63">
        <v>2024</v>
      </c>
    </row>
    <row r="131" spans="1:34" ht="116" x14ac:dyDescent="0.35">
      <c r="A131" s="55" t="s">
        <v>330</v>
      </c>
      <c r="B131" s="2" t="s">
        <v>422</v>
      </c>
      <c r="C131" s="30" t="s">
        <v>975</v>
      </c>
      <c r="D131" s="2" t="s">
        <v>313</v>
      </c>
      <c r="E131" s="97" t="s">
        <v>976</v>
      </c>
      <c r="F131" s="70">
        <v>45657</v>
      </c>
      <c r="G131" s="30" t="s">
        <v>150</v>
      </c>
      <c r="H131" s="94" t="s">
        <v>977</v>
      </c>
      <c r="I131" s="112">
        <v>199053305</v>
      </c>
      <c r="J131" s="111">
        <v>37820128</v>
      </c>
      <c r="K131" s="33">
        <v>236873433</v>
      </c>
      <c r="L131" s="77" t="s">
        <v>84</v>
      </c>
      <c r="M131" s="54">
        <v>800182091</v>
      </c>
      <c r="N131" s="30" t="s">
        <v>97</v>
      </c>
      <c r="O131" s="2" t="s">
        <v>978</v>
      </c>
      <c r="P131" s="56" t="s">
        <v>318</v>
      </c>
      <c r="Q131" s="3"/>
      <c r="R131" s="32">
        <f>+Tabla1513[[#This Row],[VALOR INICIAL DEL CONTRATO CON IVA]]+Tabla1513[[#This Row],[VALOR DE LAS ADICIONES CON IVA]]</f>
        <v>236873433</v>
      </c>
      <c r="S131" s="48">
        <v>365</v>
      </c>
      <c r="T131" s="56" t="s">
        <v>318</v>
      </c>
      <c r="U131" s="58"/>
      <c r="V131" s="56" t="s">
        <v>318</v>
      </c>
      <c r="W131" s="70">
        <v>45658</v>
      </c>
      <c r="X131" s="70">
        <v>46023</v>
      </c>
      <c r="Y131" s="70">
        <v>46023</v>
      </c>
      <c r="Z131" s="72" t="s">
        <v>319</v>
      </c>
      <c r="AA131" s="60"/>
      <c r="AB131" s="56"/>
      <c r="AC131" s="56" t="s">
        <v>1798</v>
      </c>
      <c r="AD131" s="34">
        <v>0</v>
      </c>
      <c r="AE131" s="34">
        <v>0</v>
      </c>
      <c r="AF131" s="35">
        <v>55524284.43</v>
      </c>
      <c r="AG131" s="36" t="s">
        <v>979</v>
      </c>
      <c r="AH131" s="63">
        <v>2024</v>
      </c>
    </row>
    <row r="132" spans="1:34" ht="29" x14ac:dyDescent="0.35">
      <c r="A132" s="55" t="s">
        <v>330</v>
      </c>
      <c r="B132" s="2" t="s">
        <v>11</v>
      </c>
      <c r="C132" s="30" t="s">
        <v>12</v>
      </c>
      <c r="D132" s="2" t="s">
        <v>313</v>
      </c>
      <c r="E132" s="97" t="s">
        <v>980</v>
      </c>
      <c r="F132" s="70">
        <v>45652</v>
      </c>
      <c r="G132" s="30" t="s">
        <v>160</v>
      </c>
      <c r="H132" s="94" t="s">
        <v>981</v>
      </c>
      <c r="I132" s="101">
        <v>79362003</v>
      </c>
      <c r="J132" s="111">
        <v>0</v>
      </c>
      <c r="K132" s="47">
        <v>79362003</v>
      </c>
      <c r="L132" s="77" t="s">
        <v>84</v>
      </c>
      <c r="M132" s="54">
        <v>860027404</v>
      </c>
      <c r="N132" s="30" t="s">
        <v>91</v>
      </c>
      <c r="O132" s="2" t="s">
        <v>712</v>
      </c>
      <c r="P132" s="56" t="s">
        <v>318</v>
      </c>
      <c r="Q132" s="3"/>
      <c r="R132" s="32">
        <f>+Tabla1513[[#This Row],[VALOR INICIAL DEL CONTRATO CON IVA]]+Tabla1513[[#This Row],[VALOR DE LAS ADICIONES CON IVA]]</f>
        <v>79362003</v>
      </c>
      <c r="S132" s="48">
        <v>364</v>
      </c>
      <c r="T132" s="56" t="s">
        <v>318</v>
      </c>
      <c r="U132" s="58"/>
      <c r="V132" s="56" t="s">
        <v>318</v>
      </c>
      <c r="W132" s="70">
        <v>45658</v>
      </c>
      <c r="X132" s="70">
        <v>46022</v>
      </c>
      <c r="Y132" s="70">
        <v>46022</v>
      </c>
      <c r="Z132" s="72" t="s">
        <v>319</v>
      </c>
      <c r="AA132" s="60"/>
      <c r="AB132" s="56"/>
      <c r="AC132" s="56" t="s">
        <v>710</v>
      </c>
      <c r="AD132" s="34">
        <v>0</v>
      </c>
      <c r="AE132" s="34">
        <v>0</v>
      </c>
      <c r="AF132" s="35">
        <v>0</v>
      </c>
      <c r="AG132" s="36" t="s">
        <v>982</v>
      </c>
      <c r="AH132" s="63">
        <v>2024</v>
      </c>
    </row>
    <row r="133" spans="1:34" ht="43.5" x14ac:dyDescent="0.35">
      <c r="A133" s="55" t="s">
        <v>330</v>
      </c>
      <c r="B133" s="2" t="s">
        <v>11</v>
      </c>
      <c r="C133" s="30" t="s">
        <v>476</v>
      </c>
      <c r="D133" s="2" t="s">
        <v>313</v>
      </c>
      <c r="E133" s="97" t="s">
        <v>983</v>
      </c>
      <c r="F133" s="70">
        <v>45649</v>
      </c>
      <c r="G133" s="30" t="s">
        <v>150</v>
      </c>
      <c r="H133" s="94" t="s">
        <v>984</v>
      </c>
      <c r="I133" s="101">
        <v>51327323.52941177</v>
      </c>
      <c r="J133" s="101">
        <v>9752191.4705882296</v>
      </c>
      <c r="K133" s="47">
        <v>61079515</v>
      </c>
      <c r="L133" s="77" t="s">
        <v>84</v>
      </c>
      <c r="M133" s="54">
        <v>800182091</v>
      </c>
      <c r="N133" s="30" t="s">
        <v>97</v>
      </c>
      <c r="O133" s="2" t="s">
        <v>978</v>
      </c>
      <c r="P133" s="56" t="s">
        <v>318</v>
      </c>
      <c r="Q133" s="3"/>
      <c r="R133" s="32">
        <f>+Tabla1513[[#This Row],[VALOR INICIAL DEL CONTRATO CON IVA]]+Tabla1513[[#This Row],[VALOR DE LAS ADICIONES CON IVA]]</f>
        <v>61079515</v>
      </c>
      <c r="S133" s="48">
        <v>365</v>
      </c>
      <c r="T133" s="56" t="s">
        <v>318</v>
      </c>
      <c r="U133" s="58"/>
      <c r="V133" s="56" t="s">
        <v>318</v>
      </c>
      <c r="W133" s="70">
        <v>45649</v>
      </c>
      <c r="X133" s="70">
        <v>46014</v>
      </c>
      <c r="Y133" s="70">
        <v>46014</v>
      </c>
      <c r="Z133" s="72" t="s">
        <v>319</v>
      </c>
      <c r="AA133" s="60"/>
      <c r="AB133" s="56"/>
      <c r="AC133" s="56" t="s">
        <v>424</v>
      </c>
      <c r="AD133" s="34">
        <v>0</v>
      </c>
      <c r="AE133" s="34">
        <v>0</v>
      </c>
      <c r="AF133" s="35">
        <v>0</v>
      </c>
      <c r="AG133" s="36" t="s">
        <v>985</v>
      </c>
      <c r="AH133" s="63">
        <v>2024</v>
      </c>
    </row>
    <row r="134" spans="1:34" ht="29" x14ac:dyDescent="0.35">
      <c r="A134" s="55" t="s">
        <v>330</v>
      </c>
      <c r="B134" s="2" t="s">
        <v>4</v>
      </c>
      <c r="C134" s="30" t="s">
        <v>579</v>
      </c>
      <c r="D134" s="2" t="s">
        <v>313</v>
      </c>
      <c r="E134" s="97" t="s">
        <v>986</v>
      </c>
      <c r="F134" s="70">
        <v>45652</v>
      </c>
      <c r="G134" s="30" t="s">
        <v>150</v>
      </c>
      <c r="H134" s="94" t="s">
        <v>987</v>
      </c>
      <c r="I134" s="111">
        <v>13287857</v>
      </c>
      <c r="J134" s="111">
        <v>2524693</v>
      </c>
      <c r="K134" s="47">
        <v>15812550</v>
      </c>
      <c r="L134" s="77" t="s">
        <v>84</v>
      </c>
      <c r="M134" s="54">
        <v>830144759</v>
      </c>
      <c r="N134" s="30" t="s">
        <v>85</v>
      </c>
      <c r="O134" s="2" t="s">
        <v>701</v>
      </c>
      <c r="P134" s="56" t="s">
        <v>318</v>
      </c>
      <c r="Q134" s="3"/>
      <c r="R134" s="32">
        <f>+Tabla1513[[#This Row],[VALOR INICIAL DEL CONTRATO CON IVA]]+Tabla1513[[#This Row],[VALOR DE LAS ADICIONES CON IVA]]</f>
        <v>15812550</v>
      </c>
      <c r="S134" s="48">
        <v>364</v>
      </c>
      <c r="T134" s="56" t="s">
        <v>318</v>
      </c>
      <c r="U134" s="58"/>
      <c r="V134" s="56" t="s">
        <v>318</v>
      </c>
      <c r="W134" s="70">
        <v>45658</v>
      </c>
      <c r="X134" s="70">
        <v>46022</v>
      </c>
      <c r="Y134" s="70">
        <v>46022</v>
      </c>
      <c r="Z134" s="72" t="s">
        <v>319</v>
      </c>
      <c r="AA134" s="60"/>
      <c r="AB134" s="56"/>
      <c r="AC134" s="56" t="s">
        <v>535</v>
      </c>
      <c r="AD134" s="34">
        <v>0</v>
      </c>
      <c r="AE134" s="34">
        <v>0</v>
      </c>
      <c r="AF134" s="35">
        <v>0</v>
      </c>
      <c r="AG134" s="42"/>
      <c r="AH134" s="63">
        <v>2024</v>
      </c>
    </row>
    <row r="135" spans="1:34" ht="29" x14ac:dyDescent="0.35">
      <c r="A135" s="55" t="s">
        <v>330</v>
      </c>
      <c r="B135" s="2" t="s">
        <v>11</v>
      </c>
      <c r="C135" s="30" t="s">
        <v>19</v>
      </c>
      <c r="D135" s="2" t="s">
        <v>313</v>
      </c>
      <c r="E135" s="97" t="s">
        <v>988</v>
      </c>
      <c r="F135" s="70">
        <v>45653</v>
      </c>
      <c r="G135" s="30" t="s">
        <v>150</v>
      </c>
      <c r="H135" s="94" t="s">
        <v>989</v>
      </c>
      <c r="I135" s="118">
        <v>31130467</v>
      </c>
      <c r="J135" s="81">
        <v>0</v>
      </c>
      <c r="K135" s="33">
        <v>31130467</v>
      </c>
      <c r="L135" s="77" t="s">
        <v>84</v>
      </c>
      <c r="M135" s="54">
        <v>901004967</v>
      </c>
      <c r="N135" s="30" t="s">
        <v>103</v>
      </c>
      <c r="O135" s="2" t="s">
        <v>990</v>
      </c>
      <c r="P135" s="56" t="s">
        <v>318</v>
      </c>
      <c r="Q135" s="3"/>
      <c r="R135" s="32">
        <f>+Tabla1513[[#This Row],[VALOR INICIAL DEL CONTRATO CON IVA]]+Tabla1513[[#This Row],[VALOR DE LAS ADICIONES CON IVA]]</f>
        <v>31130467</v>
      </c>
      <c r="S135" s="48">
        <v>729</v>
      </c>
      <c r="T135" s="56" t="s">
        <v>318</v>
      </c>
      <c r="U135" s="58"/>
      <c r="V135" s="56" t="s">
        <v>318</v>
      </c>
      <c r="W135" s="70">
        <v>45655</v>
      </c>
      <c r="X135" s="70">
        <v>46384</v>
      </c>
      <c r="Y135" s="70">
        <v>46384</v>
      </c>
      <c r="Z135" s="72" t="s">
        <v>319</v>
      </c>
      <c r="AA135" s="60"/>
      <c r="AB135" s="56"/>
      <c r="AC135" s="56" t="s">
        <v>535</v>
      </c>
      <c r="AD135" s="34">
        <v>0</v>
      </c>
      <c r="AE135" s="34">
        <v>0</v>
      </c>
      <c r="AF135" s="35">
        <v>0</v>
      </c>
      <c r="AG135" s="42"/>
      <c r="AH135" s="63">
        <v>2024</v>
      </c>
    </row>
    <row r="136" spans="1:34" ht="29" x14ac:dyDescent="0.35">
      <c r="A136" s="55" t="s">
        <v>330</v>
      </c>
      <c r="B136" s="2" t="s">
        <v>11</v>
      </c>
      <c r="C136" s="30" t="s">
        <v>12</v>
      </c>
      <c r="D136" s="2" t="s">
        <v>313</v>
      </c>
      <c r="E136" s="97" t="s">
        <v>991</v>
      </c>
      <c r="F136" s="70">
        <v>45653</v>
      </c>
      <c r="G136" s="30" t="s">
        <v>150</v>
      </c>
      <c r="H136" s="94" t="s">
        <v>992</v>
      </c>
      <c r="I136" s="101">
        <v>136125000</v>
      </c>
      <c r="J136" s="101">
        <v>25863750</v>
      </c>
      <c r="K136" s="47">
        <v>161988750</v>
      </c>
      <c r="L136" s="77" t="s">
        <v>84</v>
      </c>
      <c r="M136" s="54">
        <v>860037707</v>
      </c>
      <c r="N136" s="30" t="s">
        <v>123</v>
      </c>
      <c r="O136" s="2" t="s">
        <v>993</v>
      </c>
      <c r="P136" s="56" t="s">
        <v>318</v>
      </c>
      <c r="Q136" s="3"/>
      <c r="R136" s="32">
        <f>+Tabla1513[[#This Row],[VALOR INICIAL DEL CONTRATO CON IVA]]+Tabla1513[[#This Row],[VALOR DE LAS ADICIONES CON IVA]]</f>
        <v>161988750</v>
      </c>
      <c r="S136" s="48">
        <v>364</v>
      </c>
      <c r="T136" s="56" t="s">
        <v>318</v>
      </c>
      <c r="U136" s="58"/>
      <c r="V136" s="56" t="s">
        <v>318</v>
      </c>
      <c r="W136" s="70">
        <v>45658</v>
      </c>
      <c r="X136" s="70">
        <v>46022</v>
      </c>
      <c r="Y136" s="70">
        <v>46022</v>
      </c>
      <c r="Z136" s="72" t="s">
        <v>319</v>
      </c>
      <c r="AA136" s="60"/>
      <c r="AB136" s="56"/>
      <c r="AC136" s="56" t="s">
        <v>710</v>
      </c>
      <c r="AD136" s="34">
        <v>0</v>
      </c>
      <c r="AE136" s="34">
        <v>0</v>
      </c>
      <c r="AF136" s="35">
        <v>0</v>
      </c>
      <c r="AG136" s="42"/>
      <c r="AH136" s="63">
        <v>2024</v>
      </c>
    </row>
    <row r="137" spans="1:34" ht="29" x14ac:dyDescent="0.35">
      <c r="A137" s="55" t="s">
        <v>330</v>
      </c>
      <c r="B137" s="2" t="s">
        <v>410</v>
      </c>
      <c r="C137" s="30" t="s">
        <v>68</v>
      </c>
      <c r="D137" s="2" t="s">
        <v>313</v>
      </c>
      <c r="E137" s="97" t="s">
        <v>994</v>
      </c>
      <c r="F137" s="70">
        <v>45653</v>
      </c>
      <c r="G137" s="30" t="s">
        <v>150</v>
      </c>
      <c r="H137" s="94" t="s">
        <v>995</v>
      </c>
      <c r="I137" s="101">
        <v>52268000</v>
      </c>
      <c r="J137" s="101">
        <v>9930920</v>
      </c>
      <c r="K137" s="47">
        <v>62198920</v>
      </c>
      <c r="L137" s="77" t="s">
        <v>84</v>
      </c>
      <c r="M137" s="54">
        <v>800129465</v>
      </c>
      <c r="N137" s="30" t="s">
        <v>123</v>
      </c>
      <c r="O137" s="2" t="s">
        <v>645</v>
      </c>
      <c r="P137" s="56" t="s">
        <v>318</v>
      </c>
      <c r="Q137" s="3"/>
      <c r="R137" s="32">
        <f>+Tabla1513[[#This Row],[VALOR INICIAL DEL CONTRATO CON IVA]]+Tabla1513[[#This Row],[VALOR DE LAS ADICIONES CON IVA]]</f>
        <v>62198920</v>
      </c>
      <c r="S137" s="48">
        <v>364</v>
      </c>
      <c r="T137" s="56" t="s">
        <v>318</v>
      </c>
      <c r="U137" s="58"/>
      <c r="V137" s="56" t="s">
        <v>318</v>
      </c>
      <c r="W137" s="70">
        <v>45658</v>
      </c>
      <c r="X137" s="70">
        <v>46022</v>
      </c>
      <c r="Y137" s="70">
        <v>46022</v>
      </c>
      <c r="Z137" s="72" t="s">
        <v>319</v>
      </c>
      <c r="AA137" s="60"/>
      <c r="AB137" s="56"/>
      <c r="AC137" s="56" t="s">
        <v>535</v>
      </c>
      <c r="AD137" s="34">
        <v>0</v>
      </c>
      <c r="AE137" s="34">
        <v>0</v>
      </c>
      <c r="AF137" s="35">
        <v>0</v>
      </c>
      <c r="AG137" s="36" t="s">
        <v>996</v>
      </c>
      <c r="AH137" s="63">
        <v>2024</v>
      </c>
    </row>
    <row r="138" spans="1:34" ht="43.5" x14ac:dyDescent="0.35">
      <c r="A138" s="55" t="s">
        <v>330</v>
      </c>
      <c r="B138" s="2" t="s">
        <v>31</v>
      </c>
      <c r="C138" s="30" t="s">
        <v>36</v>
      </c>
      <c r="D138" s="2" t="s">
        <v>412</v>
      </c>
      <c r="E138" s="97" t="s">
        <v>997</v>
      </c>
      <c r="F138" s="70">
        <v>45656</v>
      </c>
      <c r="G138" s="30" t="s">
        <v>150</v>
      </c>
      <c r="H138" s="94" t="s">
        <v>998</v>
      </c>
      <c r="I138" s="101">
        <v>1667933698.3193278</v>
      </c>
      <c r="J138" s="101">
        <v>316907402.68067229</v>
      </c>
      <c r="K138" s="47">
        <v>1984841101</v>
      </c>
      <c r="L138" s="77" t="s">
        <v>84</v>
      </c>
      <c r="M138" s="54">
        <v>830079434</v>
      </c>
      <c r="N138" s="30" t="s">
        <v>108</v>
      </c>
      <c r="O138" s="2" t="s">
        <v>999</v>
      </c>
      <c r="P138" s="56" t="s">
        <v>318</v>
      </c>
      <c r="Q138" s="3"/>
      <c r="R138" s="32">
        <f>+Tabla1513[[#This Row],[VALOR INICIAL DEL CONTRATO CON IVA]]+Tabla1513[[#This Row],[VALOR DE LAS ADICIONES CON IVA]]</f>
        <v>1984841101</v>
      </c>
      <c r="S138" s="48">
        <v>1094</v>
      </c>
      <c r="T138" s="56" t="s">
        <v>318</v>
      </c>
      <c r="U138" s="58"/>
      <c r="V138" s="56" t="s">
        <v>318</v>
      </c>
      <c r="W138" s="70">
        <v>45658</v>
      </c>
      <c r="X138" s="70">
        <v>46752</v>
      </c>
      <c r="Y138" s="70">
        <v>46752</v>
      </c>
      <c r="Z138" s="72" t="s">
        <v>319</v>
      </c>
      <c r="AA138" s="60"/>
      <c r="AB138" s="56"/>
      <c r="AC138" s="56" t="s">
        <v>558</v>
      </c>
      <c r="AD138" s="34">
        <v>2.5999999999999999E-2</v>
      </c>
      <c r="AE138" s="34">
        <v>0</v>
      </c>
      <c r="AF138" s="35">
        <v>0</v>
      </c>
      <c r="AG138" s="36" t="s">
        <v>1000</v>
      </c>
      <c r="AH138" s="63">
        <v>2024</v>
      </c>
    </row>
    <row r="139" spans="1:34" ht="43.5" x14ac:dyDescent="0.35">
      <c r="A139" s="55" t="s">
        <v>330</v>
      </c>
      <c r="B139" s="2" t="s">
        <v>11</v>
      </c>
      <c r="C139" s="30" t="s">
        <v>19</v>
      </c>
      <c r="D139" s="2" t="s">
        <v>313</v>
      </c>
      <c r="E139" s="97" t="s">
        <v>1001</v>
      </c>
      <c r="F139" s="70">
        <v>45656</v>
      </c>
      <c r="G139" s="30" t="s">
        <v>142</v>
      </c>
      <c r="H139" s="94" t="s">
        <v>1002</v>
      </c>
      <c r="I139" s="32">
        <v>32642501</v>
      </c>
      <c r="J139" s="32">
        <v>6202075</v>
      </c>
      <c r="K139" s="47">
        <v>38844576</v>
      </c>
      <c r="L139" s="77" t="s">
        <v>84</v>
      </c>
      <c r="M139" s="54">
        <v>900077267</v>
      </c>
      <c r="N139" s="30" t="s">
        <v>111</v>
      </c>
      <c r="O139" s="2" t="s">
        <v>671</v>
      </c>
      <c r="P139" s="56" t="s">
        <v>318</v>
      </c>
      <c r="Q139" s="3"/>
      <c r="R139" s="32">
        <f>+Tabla1513[[#This Row],[VALOR INICIAL DEL CONTRATO CON IVA]]+Tabla1513[[#This Row],[VALOR DE LAS ADICIONES CON IVA]]</f>
        <v>38844576</v>
      </c>
      <c r="S139" s="48">
        <v>365</v>
      </c>
      <c r="T139" s="56" t="s">
        <v>318</v>
      </c>
      <c r="U139" s="58"/>
      <c r="V139" s="56" t="s">
        <v>318</v>
      </c>
      <c r="W139" s="70">
        <v>45656</v>
      </c>
      <c r="X139" s="70">
        <v>46021</v>
      </c>
      <c r="Y139" s="70">
        <v>46021</v>
      </c>
      <c r="Z139" s="72" t="s">
        <v>319</v>
      </c>
      <c r="AA139" s="60"/>
      <c r="AB139" s="56"/>
      <c r="AC139" s="56" t="s">
        <v>467</v>
      </c>
      <c r="AD139" s="34">
        <v>0</v>
      </c>
      <c r="AE139" s="34">
        <v>0</v>
      </c>
      <c r="AF139" s="35">
        <v>0</v>
      </c>
      <c r="AG139" s="36" t="s">
        <v>1003</v>
      </c>
      <c r="AH139" s="63">
        <v>2024</v>
      </c>
    </row>
    <row r="140" spans="1:34" ht="29" x14ac:dyDescent="0.35">
      <c r="A140" s="55" t="s">
        <v>330</v>
      </c>
      <c r="B140" s="2" t="s">
        <v>11</v>
      </c>
      <c r="C140" s="30" t="s">
        <v>12</v>
      </c>
      <c r="D140" s="2" t="s">
        <v>313</v>
      </c>
      <c r="E140" s="97" t="s">
        <v>1004</v>
      </c>
      <c r="F140" s="70">
        <v>45656</v>
      </c>
      <c r="G140" s="30" t="s">
        <v>160</v>
      </c>
      <c r="H140" s="94" t="s">
        <v>1005</v>
      </c>
      <c r="I140" s="101">
        <v>8542668000</v>
      </c>
      <c r="J140" s="101">
        <v>427133400</v>
      </c>
      <c r="K140" s="47">
        <v>8969801400</v>
      </c>
      <c r="L140" s="77" t="s">
        <v>84</v>
      </c>
      <c r="M140" s="54">
        <v>860026182</v>
      </c>
      <c r="N140" s="30" t="s">
        <v>111</v>
      </c>
      <c r="O140" s="2" t="s">
        <v>1006</v>
      </c>
      <c r="P140" s="56" t="s">
        <v>318</v>
      </c>
      <c r="Q140" s="3"/>
      <c r="R140" s="32">
        <f>+Tabla1513[[#This Row],[VALOR INICIAL DEL CONTRATO CON IVA]]+Tabla1513[[#This Row],[VALOR DE LAS ADICIONES CON IVA]]</f>
        <v>8969801400</v>
      </c>
      <c r="S140" s="48">
        <v>364</v>
      </c>
      <c r="T140" s="56" t="s">
        <v>318</v>
      </c>
      <c r="U140" s="58"/>
      <c r="V140" s="56" t="s">
        <v>318</v>
      </c>
      <c r="W140" s="70">
        <v>45658</v>
      </c>
      <c r="X140" s="70">
        <v>46022</v>
      </c>
      <c r="Y140" s="70">
        <v>46022</v>
      </c>
      <c r="Z140" s="72" t="s">
        <v>319</v>
      </c>
      <c r="AA140" s="60"/>
      <c r="AB140" s="56"/>
      <c r="AC140" s="56" t="s">
        <v>710</v>
      </c>
      <c r="AD140" s="34">
        <v>0</v>
      </c>
      <c r="AE140" s="34">
        <v>0</v>
      </c>
      <c r="AF140" s="35">
        <v>0</v>
      </c>
      <c r="AG140" s="36" t="s">
        <v>1007</v>
      </c>
      <c r="AH140" s="63">
        <v>2024</v>
      </c>
    </row>
    <row r="141" spans="1:34" ht="43.5" x14ac:dyDescent="0.35">
      <c r="A141" s="55" t="s">
        <v>330</v>
      </c>
      <c r="B141" s="2" t="s">
        <v>4</v>
      </c>
      <c r="C141" s="30" t="s">
        <v>579</v>
      </c>
      <c r="D141" s="2" t="s">
        <v>313</v>
      </c>
      <c r="E141" s="97" t="s">
        <v>1008</v>
      </c>
      <c r="F141" s="70">
        <v>45656</v>
      </c>
      <c r="G141" s="30" t="s">
        <v>150</v>
      </c>
      <c r="H141" s="94" t="s">
        <v>1009</v>
      </c>
      <c r="I141" s="111">
        <v>39318552</v>
      </c>
      <c r="J141" s="111">
        <v>7470525</v>
      </c>
      <c r="K141" s="47">
        <v>46789077</v>
      </c>
      <c r="L141" s="77" t="s">
        <v>84</v>
      </c>
      <c r="M141" s="54">
        <v>830099102</v>
      </c>
      <c r="N141" s="30" t="s">
        <v>91</v>
      </c>
      <c r="O141" s="2" t="s">
        <v>731</v>
      </c>
      <c r="P141" s="56" t="s">
        <v>318</v>
      </c>
      <c r="Q141" s="3"/>
      <c r="R141" s="32">
        <f>+Tabla1513[[#This Row],[VALOR INICIAL DEL CONTRATO CON IVA]]+Tabla1513[[#This Row],[VALOR DE LAS ADICIONES CON IVA]]</f>
        <v>46789077</v>
      </c>
      <c r="S141" s="48">
        <v>365</v>
      </c>
      <c r="T141" s="56" t="s">
        <v>318</v>
      </c>
      <c r="U141" s="58"/>
      <c r="V141" s="56" t="s">
        <v>318</v>
      </c>
      <c r="W141" s="70">
        <v>45665</v>
      </c>
      <c r="X141" s="70">
        <v>46030</v>
      </c>
      <c r="Y141" s="70">
        <v>46030</v>
      </c>
      <c r="Z141" s="72" t="s">
        <v>319</v>
      </c>
      <c r="AA141" s="60"/>
      <c r="AB141" s="56"/>
      <c r="AC141" s="56" t="s">
        <v>415</v>
      </c>
      <c r="AD141" s="34">
        <v>0</v>
      </c>
      <c r="AE141" s="34">
        <v>0</v>
      </c>
      <c r="AF141" s="35">
        <v>0</v>
      </c>
      <c r="AG141" s="36" t="s">
        <v>1010</v>
      </c>
      <c r="AH141" s="63">
        <v>2024</v>
      </c>
    </row>
    <row r="142" spans="1:34" ht="58" x14ac:dyDescent="0.35">
      <c r="A142" s="55" t="s">
        <v>330</v>
      </c>
      <c r="B142" s="2" t="s">
        <v>11</v>
      </c>
      <c r="C142" s="30" t="s">
        <v>20</v>
      </c>
      <c r="D142" s="2" t="s">
        <v>313</v>
      </c>
      <c r="E142" s="97" t="s">
        <v>1011</v>
      </c>
      <c r="F142" s="70">
        <v>45656</v>
      </c>
      <c r="G142" s="30" t="s">
        <v>150</v>
      </c>
      <c r="H142" s="94" t="s">
        <v>1012</v>
      </c>
      <c r="I142" s="101">
        <v>15682000</v>
      </c>
      <c r="J142" s="101">
        <v>2979580</v>
      </c>
      <c r="K142" s="47">
        <v>18661580</v>
      </c>
      <c r="L142" s="77" t="s">
        <v>84</v>
      </c>
      <c r="M142" s="54">
        <v>900059124</v>
      </c>
      <c r="N142" s="30" t="s">
        <v>108</v>
      </c>
      <c r="O142" s="2" t="s">
        <v>1013</v>
      </c>
      <c r="P142" s="56" t="s">
        <v>318</v>
      </c>
      <c r="Q142" s="3"/>
      <c r="R142" s="32">
        <f>+Tabla1513[[#This Row],[VALOR INICIAL DEL CONTRATO CON IVA]]+Tabla1513[[#This Row],[VALOR DE LAS ADICIONES CON IVA]]</f>
        <v>18661580</v>
      </c>
      <c r="S142" s="48">
        <v>730</v>
      </c>
      <c r="T142" s="56" t="s">
        <v>318</v>
      </c>
      <c r="U142" s="58"/>
      <c r="V142" s="56" t="s">
        <v>318</v>
      </c>
      <c r="W142" s="70">
        <v>45656</v>
      </c>
      <c r="X142" s="70">
        <v>46386</v>
      </c>
      <c r="Y142" s="70">
        <v>46386</v>
      </c>
      <c r="Z142" s="72" t="s">
        <v>319</v>
      </c>
      <c r="AA142" s="60"/>
      <c r="AB142" s="56"/>
      <c r="AC142" s="56" t="s">
        <v>425</v>
      </c>
      <c r="AD142" s="34">
        <v>0.01</v>
      </c>
      <c r="AE142" s="34">
        <v>0</v>
      </c>
      <c r="AF142" s="35">
        <v>0</v>
      </c>
      <c r="AG142" s="36" t="s">
        <v>1014</v>
      </c>
      <c r="AH142" s="63">
        <v>2024</v>
      </c>
    </row>
    <row r="143" spans="1:34" ht="29" x14ac:dyDescent="0.35">
      <c r="A143" s="55" t="s">
        <v>330</v>
      </c>
      <c r="B143" s="2" t="s">
        <v>11</v>
      </c>
      <c r="C143" s="30" t="s">
        <v>12</v>
      </c>
      <c r="D143" s="2" t="s">
        <v>313</v>
      </c>
      <c r="E143" s="97" t="s">
        <v>1015</v>
      </c>
      <c r="F143" s="70">
        <v>45657</v>
      </c>
      <c r="G143" s="30" t="s">
        <v>160</v>
      </c>
      <c r="H143" s="94" t="s">
        <v>1016</v>
      </c>
      <c r="I143" s="101">
        <v>1194609416</v>
      </c>
      <c r="J143" s="111">
        <v>0</v>
      </c>
      <c r="K143" s="47">
        <v>1194609416</v>
      </c>
      <c r="L143" s="77" t="s">
        <v>84</v>
      </c>
      <c r="M143" s="54">
        <v>860026182</v>
      </c>
      <c r="N143" s="30" t="s">
        <v>111</v>
      </c>
      <c r="O143" s="2" t="s">
        <v>1006</v>
      </c>
      <c r="P143" s="56" t="s">
        <v>318</v>
      </c>
      <c r="Q143" s="3"/>
      <c r="R143" s="32">
        <f>+Tabla1513[[#This Row],[VALOR INICIAL DEL CONTRATO CON IVA]]+Tabla1513[[#This Row],[VALOR DE LAS ADICIONES CON IVA]]</f>
        <v>1194609416</v>
      </c>
      <c r="S143" s="48">
        <v>364</v>
      </c>
      <c r="T143" s="56" t="s">
        <v>318</v>
      </c>
      <c r="U143" s="58"/>
      <c r="V143" s="56" t="s">
        <v>318</v>
      </c>
      <c r="W143" s="70">
        <v>45658</v>
      </c>
      <c r="X143" s="70">
        <v>46022</v>
      </c>
      <c r="Y143" s="70">
        <v>46022</v>
      </c>
      <c r="Z143" s="72" t="s">
        <v>319</v>
      </c>
      <c r="AA143" s="60"/>
      <c r="AB143" s="56"/>
      <c r="AC143" s="56" t="s">
        <v>710</v>
      </c>
      <c r="AD143" s="34">
        <v>0</v>
      </c>
      <c r="AE143" s="34">
        <v>0</v>
      </c>
      <c r="AF143" s="35">
        <v>0</v>
      </c>
      <c r="AG143" s="42"/>
      <c r="AH143" s="63">
        <v>2024</v>
      </c>
    </row>
    <row r="144" spans="1:34" ht="29" x14ac:dyDescent="0.35">
      <c r="A144" s="55" t="s">
        <v>330</v>
      </c>
      <c r="B144" s="2" t="s">
        <v>11</v>
      </c>
      <c r="C144" s="30" t="s">
        <v>12</v>
      </c>
      <c r="D144" s="2" t="s">
        <v>313</v>
      </c>
      <c r="E144" s="97" t="s">
        <v>1017</v>
      </c>
      <c r="F144" s="70">
        <v>45657</v>
      </c>
      <c r="G144" s="30" t="s">
        <v>160</v>
      </c>
      <c r="H144" s="94" t="s">
        <v>1018</v>
      </c>
      <c r="I144" s="101">
        <v>240555315</v>
      </c>
      <c r="J144" s="111">
        <v>0</v>
      </c>
      <c r="K144" s="47">
        <v>240555315</v>
      </c>
      <c r="L144" s="77" t="s">
        <v>84</v>
      </c>
      <c r="M144" s="54">
        <v>860026182</v>
      </c>
      <c r="N144" s="30" t="s">
        <v>111</v>
      </c>
      <c r="O144" s="2" t="s">
        <v>1006</v>
      </c>
      <c r="P144" s="56" t="s">
        <v>318</v>
      </c>
      <c r="Q144" s="3"/>
      <c r="R144" s="32">
        <f>+Tabla1513[[#This Row],[VALOR INICIAL DEL CONTRATO CON IVA]]+Tabla1513[[#This Row],[VALOR DE LAS ADICIONES CON IVA]]</f>
        <v>240555315</v>
      </c>
      <c r="S144" s="48">
        <v>364</v>
      </c>
      <c r="T144" s="56" t="s">
        <v>318</v>
      </c>
      <c r="U144" s="58"/>
      <c r="V144" s="56" t="s">
        <v>318</v>
      </c>
      <c r="W144" s="70">
        <v>45658</v>
      </c>
      <c r="X144" s="70">
        <v>46022</v>
      </c>
      <c r="Y144" s="70">
        <v>46022</v>
      </c>
      <c r="Z144" s="72" t="s">
        <v>319</v>
      </c>
      <c r="AA144" s="60"/>
      <c r="AB144" s="56"/>
      <c r="AC144" s="56" t="s">
        <v>710</v>
      </c>
      <c r="AD144" s="34">
        <v>0</v>
      </c>
      <c r="AE144" s="34">
        <v>0</v>
      </c>
      <c r="AF144" s="35">
        <v>0</v>
      </c>
      <c r="AG144" s="42"/>
      <c r="AH144" s="63">
        <v>2024</v>
      </c>
    </row>
    <row r="145" spans="1:34" ht="43.5" x14ac:dyDescent="0.35">
      <c r="A145" s="55" t="s">
        <v>330</v>
      </c>
      <c r="B145" s="2" t="s">
        <v>422</v>
      </c>
      <c r="C145" s="30" t="s">
        <v>48</v>
      </c>
      <c r="D145" s="2" t="s">
        <v>313</v>
      </c>
      <c r="E145" s="97" t="s">
        <v>1019</v>
      </c>
      <c r="F145" s="70">
        <v>45656</v>
      </c>
      <c r="G145" s="30" t="s">
        <v>150</v>
      </c>
      <c r="H145" s="94" t="s">
        <v>1020</v>
      </c>
      <c r="I145" s="101">
        <v>24976219</v>
      </c>
      <c r="J145" s="101">
        <v>4745481.8</v>
      </c>
      <c r="K145" s="47">
        <v>29721701</v>
      </c>
      <c r="L145" s="77" t="s">
        <v>84</v>
      </c>
      <c r="M145" s="54">
        <v>900309191</v>
      </c>
      <c r="N145" s="30" t="s">
        <v>91</v>
      </c>
      <c r="O145" s="2" t="s">
        <v>1021</v>
      </c>
      <c r="P145" s="56" t="s">
        <v>318</v>
      </c>
      <c r="Q145" s="3"/>
      <c r="R145" s="32">
        <f>+Tabla1513[[#This Row],[VALOR INICIAL DEL CONTRATO CON IVA]]+Tabla1513[[#This Row],[VALOR DE LAS ADICIONES CON IVA]]</f>
        <v>29721701</v>
      </c>
      <c r="S145" s="48">
        <v>365</v>
      </c>
      <c r="T145" s="56" t="s">
        <v>318</v>
      </c>
      <c r="U145" s="58"/>
      <c r="V145" s="56" t="s">
        <v>318</v>
      </c>
      <c r="W145" s="70">
        <v>45656</v>
      </c>
      <c r="X145" s="70">
        <v>46021</v>
      </c>
      <c r="Y145" s="70">
        <v>46021</v>
      </c>
      <c r="Z145" s="72" t="s">
        <v>319</v>
      </c>
      <c r="AA145" s="60"/>
      <c r="AB145" s="56"/>
      <c r="AC145" s="56" t="s">
        <v>1022</v>
      </c>
      <c r="AD145" s="34">
        <v>1</v>
      </c>
      <c r="AE145" s="34">
        <v>0</v>
      </c>
      <c r="AF145" s="35">
        <v>0</v>
      </c>
      <c r="AG145" s="36" t="s">
        <v>1023</v>
      </c>
      <c r="AH145" s="63">
        <v>2024</v>
      </c>
    </row>
    <row r="146" spans="1:34" ht="43.5" x14ac:dyDescent="0.35">
      <c r="A146" s="55" t="s">
        <v>330</v>
      </c>
      <c r="B146" s="2" t="s">
        <v>422</v>
      </c>
      <c r="C146" s="30" t="s">
        <v>43</v>
      </c>
      <c r="D146" s="2" t="s">
        <v>313</v>
      </c>
      <c r="E146" s="97" t="s">
        <v>1024</v>
      </c>
      <c r="F146" s="70">
        <v>45657</v>
      </c>
      <c r="G146" s="30" t="s">
        <v>150</v>
      </c>
      <c r="H146" s="94" t="s">
        <v>1025</v>
      </c>
      <c r="I146" s="111">
        <v>2210899250</v>
      </c>
      <c r="J146" s="111">
        <v>420070857</v>
      </c>
      <c r="K146" s="47">
        <v>2630970107</v>
      </c>
      <c r="L146" s="77" t="s">
        <v>84</v>
      </c>
      <c r="M146" s="54">
        <v>900032159</v>
      </c>
      <c r="N146" s="30" t="s">
        <v>108</v>
      </c>
      <c r="O146" s="2" t="s">
        <v>456</v>
      </c>
      <c r="P146" s="56" t="s">
        <v>318</v>
      </c>
      <c r="Q146" s="3"/>
      <c r="R146" s="32">
        <f>+Tabla1513[[#This Row],[VALOR INICIAL DEL CONTRATO CON IVA]]+Tabla1513[[#This Row],[VALOR DE LAS ADICIONES CON IVA]]</f>
        <v>2630970107</v>
      </c>
      <c r="S146" s="48">
        <v>1094</v>
      </c>
      <c r="T146" s="56" t="s">
        <v>318</v>
      </c>
      <c r="U146" s="58"/>
      <c r="V146" s="56" t="s">
        <v>318</v>
      </c>
      <c r="W146" s="70">
        <v>45658</v>
      </c>
      <c r="X146" s="70">
        <v>46752</v>
      </c>
      <c r="Y146" s="70">
        <v>46752</v>
      </c>
      <c r="Z146" s="72" t="s">
        <v>319</v>
      </c>
      <c r="AA146" s="60"/>
      <c r="AB146" s="56"/>
      <c r="AC146" s="56" t="s">
        <v>457</v>
      </c>
      <c r="AD146" s="34">
        <v>0</v>
      </c>
      <c r="AE146" s="34">
        <v>0</v>
      </c>
      <c r="AF146" s="35">
        <v>0</v>
      </c>
      <c r="AG146" s="36" t="s">
        <v>1026</v>
      </c>
      <c r="AH146" s="63">
        <v>2024</v>
      </c>
    </row>
    <row r="147" spans="1:34" ht="43.5" x14ac:dyDescent="0.35">
      <c r="A147" s="55" t="s">
        <v>330</v>
      </c>
      <c r="B147" s="2" t="s">
        <v>422</v>
      </c>
      <c r="C147" s="30" t="s">
        <v>1128</v>
      </c>
      <c r="D147" s="2" t="s">
        <v>313</v>
      </c>
      <c r="E147" s="96" t="s">
        <v>1127</v>
      </c>
      <c r="F147" s="70">
        <v>45695</v>
      </c>
      <c r="G147" s="30" t="s">
        <v>150</v>
      </c>
      <c r="H147" s="94" t="s">
        <v>1130</v>
      </c>
      <c r="I147" s="101">
        <v>599456595.00999999</v>
      </c>
      <c r="J147" s="101">
        <v>113896754</v>
      </c>
      <c r="K147" s="47">
        <v>713353349</v>
      </c>
      <c r="L147" s="77" t="s">
        <v>84</v>
      </c>
      <c r="M147" s="54">
        <v>900409363</v>
      </c>
      <c r="N147" s="30" t="s">
        <v>85</v>
      </c>
      <c r="O147" s="2" t="s">
        <v>1129</v>
      </c>
      <c r="P147" s="73" t="s">
        <v>318</v>
      </c>
      <c r="Q147" s="3"/>
      <c r="R147" s="32">
        <f>+Tabla1513[[#This Row],[VALOR INICIAL DEL CONTRATO CON IVA]]+Tabla1513[[#This Row],[VALOR DE LAS ADICIONES CON IVA]]</f>
        <v>713353349</v>
      </c>
      <c r="S147" s="48">
        <f>+Tabla1513[[#This Row],[FECHA TERMINACIÓN INICIAL CONTRATO]]-Tabla1513[[#This Row],[FECHA INICIO CONTRATO]]</f>
        <v>729</v>
      </c>
      <c r="T147" s="24" t="s">
        <v>318</v>
      </c>
      <c r="U147" s="4"/>
      <c r="V147" s="56" t="s">
        <v>318</v>
      </c>
      <c r="W147" s="70">
        <v>45713</v>
      </c>
      <c r="X147" s="70">
        <v>46442</v>
      </c>
      <c r="Y147" s="70">
        <v>46442</v>
      </c>
      <c r="Z147" s="72" t="s">
        <v>319</v>
      </c>
      <c r="AA147" s="60"/>
      <c r="AB147" s="60"/>
      <c r="AC147" s="56" t="s">
        <v>424</v>
      </c>
      <c r="AD147" s="34"/>
      <c r="AE147" s="34"/>
      <c r="AF147" s="35"/>
      <c r="AG147" s="36" t="s">
        <v>1320</v>
      </c>
      <c r="AH147" s="63">
        <v>2025</v>
      </c>
    </row>
    <row r="148" spans="1:34" ht="43.5" x14ac:dyDescent="0.35">
      <c r="A148" s="55" t="s">
        <v>330</v>
      </c>
      <c r="B148" s="2" t="s">
        <v>11</v>
      </c>
      <c r="C148" s="30" t="s">
        <v>19</v>
      </c>
      <c r="D148" s="2" t="s">
        <v>313</v>
      </c>
      <c r="E148" s="96" t="s">
        <v>1071</v>
      </c>
      <c r="F148" s="70">
        <v>45667</v>
      </c>
      <c r="G148" s="30" t="s">
        <v>142</v>
      </c>
      <c r="H148" s="94" t="s">
        <v>1073</v>
      </c>
      <c r="I148" s="129">
        <v>22169634</v>
      </c>
      <c r="J148" s="129">
        <v>4212230</v>
      </c>
      <c r="K148" s="80">
        <v>26381864</v>
      </c>
      <c r="L148" s="77" t="s">
        <v>84</v>
      </c>
      <c r="M148" s="54">
        <v>830136091</v>
      </c>
      <c r="N148" s="30" t="s">
        <v>114</v>
      </c>
      <c r="O148" s="2" t="s">
        <v>1074</v>
      </c>
      <c r="P148" s="73" t="s">
        <v>318</v>
      </c>
      <c r="Q148" s="3"/>
      <c r="R148" s="32">
        <f>+Tabla1513[[#This Row],[VALOR INICIAL DEL CONTRATO CON IVA]]+Tabla1513[[#This Row],[VALOR DE LAS ADICIONES CON IVA]]</f>
        <v>26381864</v>
      </c>
      <c r="S148" s="48">
        <f>+Tabla1513[[#This Row],[FECHA TERMINACIÓN INICIAL CONTRATO]]-Tabla1513[[#This Row],[FECHA INICIO CONTRATO]]</f>
        <v>355</v>
      </c>
      <c r="T148" s="24" t="s">
        <v>318</v>
      </c>
      <c r="U148" s="4"/>
      <c r="V148" s="56" t="s">
        <v>318</v>
      </c>
      <c r="W148" s="70">
        <v>45667</v>
      </c>
      <c r="X148" s="70">
        <v>46022</v>
      </c>
      <c r="Y148" s="70">
        <v>46022</v>
      </c>
      <c r="Z148" s="72" t="s">
        <v>319</v>
      </c>
      <c r="AA148" s="60"/>
      <c r="AB148" s="60"/>
      <c r="AC148" s="56" t="s">
        <v>964</v>
      </c>
      <c r="AD148" s="34"/>
      <c r="AE148" s="34"/>
      <c r="AF148" s="35"/>
      <c r="AG148" s="36" t="s">
        <v>1807</v>
      </c>
      <c r="AH148" s="63">
        <v>2025</v>
      </c>
    </row>
    <row r="149" spans="1:34" ht="29" x14ac:dyDescent="0.35">
      <c r="A149" s="55" t="s">
        <v>330</v>
      </c>
      <c r="B149" s="2" t="s">
        <v>4</v>
      </c>
      <c r="C149" s="30" t="s">
        <v>579</v>
      </c>
      <c r="D149" s="2" t="s">
        <v>313</v>
      </c>
      <c r="E149" s="96" t="s">
        <v>1072</v>
      </c>
      <c r="F149" s="70">
        <v>45664</v>
      </c>
      <c r="G149" s="30" t="s">
        <v>150</v>
      </c>
      <c r="H149" s="94" t="s">
        <v>1076</v>
      </c>
      <c r="I149" s="130">
        <v>15300000</v>
      </c>
      <c r="J149" s="130">
        <v>2907000</v>
      </c>
      <c r="K149" s="80">
        <v>18207000</v>
      </c>
      <c r="L149" s="77" t="s">
        <v>84</v>
      </c>
      <c r="M149" s="54">
        <v>900633325</v>
      </c>
      <c r="N149" s="30" t="s">
        <v>91</v>
      </c>
      <c r="O149" s="2" t="s">
        <v>1075</v>
      </c>
      <c r="P149" s="73" t="s">
        <v>318</v>
      </c>
      <c r="Q149" s="3"/>
      <c r="R149" s="32">
        <f>+Tabla1513[[#This Row],[VALOR INICIAL DEL CONTRATO CON IVA]]+Tabla1513[[#This Row],[VALOR DE LAS ADICIONES CON IVA]]</f>
        <v>18207000</v>
      </c>
      <c r="S149" s="48">
        <f>+Tabla1513[[#This Row],[FECHA TERMINACIÓN INICIAL CONTRATO]]-Tabla1513[[#This Row],[FECHA INICIO CONTRATO]]</f>
        <v>365</v>
      </c>
      <c r="T149" s="24" t="s">
        <v>318</v>
      </c>
      <c r="U149" s="4"/>
      <c r="V149" s="56" t="s">
        <v>318</v>
      </c>
      <c r="W149" s="70">
        <v>45672</v>
      </c>
      <c r="X149" s="70">
        <v>46037</v>
      </c>
      <c r="Y149" s="70">
        <v>46037</v>
      </c>
      <c r="Z149" s="72" t="s">
        <v>319</v>
      </c>
      <c r="AA149" s="60"/>
      <c r="AB149" s="60"/>
      <c r="AC149" s="56" t="s">
        <v>535</v>
      </c>
      <c r="AD149" s="34">
        <v>0</v>
      </c>
      <c r="AE149" s="34">
        <v>0</v>
      </c>
      <c r="AF149" s="35">
        <v>0</v>
      </c>
      <c r="AG149" s="36" t="s">
        <v>1077</v>
      </c>
      <c r="AH149" s="63">
        <v>2025</v>
      </c>
    </row>
    <row r="150" spans="1:34" ht="29" x14ac:dyDescent="0.35">
      <c r="A150" s="55" t="s">
        <v>330</v>
      </c>
      <c r="B150" s="2" t="s">
        <v>11</v>
      </c>
      <c r="C150" s="30" t="s">
        <v>19</v>
      </c>
      <c r="D150" s="2" t="s">
        <v>313</v>
      </c>
      <c r="E150" s="96" t="s">
        <v>1078</v>
      </c>
      <c r="F150" s="70">
        <v>45674</v>
      </c>
      <c r="G150" s="30" t="s">
        <v>113</v>
      </c>
      <c r="H150" s="94" t="s">
        <v>1257</v>
      </c>
      <c r="I150" s="32">
        <v>50023670.009999998</v>
      </c>
      <c r="J150" s="32">
        <v>0</v>
      </c>
      <c r="K150" s="47">
        <v>50023670</v>
      </c>
      <c r="L150" s="77" t="s">
        <v>84</v>
      </c>
      <c r="M150" s="54">
        <v>900023830</v>
      </c>
      <c r="N150" s="30" t="s">
        <v>85</v>
      </c>
      <c r="O150" s="2" t="s">
        <v>1081</v>
      </c>
      <c r="P150" s="73" t="s">
        <v>318</v>
      </c>
      <c r="Q150" s="3"/>
      <c r="R150" s="32">
        <f>+Tabla1513[[#This Row],[VALOR INICIAL DEL CONTRATO CON IVA]]+Tabla1513[[#This Row],[VALOR DE LAS ADICIONES CON IVA]]</f>
        <v>50023670</v>
      </c>
      <c r="S150" s="48">
        <f>+Tabla1513[[#This Row],[FECHA TERMINACIÓN INICIAL CONTRATO]]-Tabla1513[[#This Row],[FECHA INICIO CONTRATO]]</f>
        <v>348</v>
      </c>
      <c r="T150" s="24" t="s">
        <v>318</v>
      </c>
      <c r="U150" s="4"/>
      <c r="V150" s="56" t="s">
        <v>318</v>
      </c>
      <c r="W150" s="70">
        <v>45674</v>
      </c>
      <c r="X150" s="70">
        <v>46022</v>
      </c>
      <c r="Y150" s="70">
        <v>46022</v>
      </c>
      <c r="Z150" s="72" t="s">
        <v>319</v>
      </c>
      <c r="AA150" s="60"/>
      <c r="AB150" s="60"/>
      <c r="AC150" s="56" t="s">
        <v>688</v>
      </c>
      <c r="AD150" s="34"/>
      <c r="AE150" s="34"/>
      <c r="AF150" s="35"/>
      <c r="AG150" s="36" t="s">
        <v>1449</v>
      </c>
      <c r="AH150" s="63">
        <v>2025</v>
      </c>
    </row>
    <row r="151" spans="1:34" ht="43.5" x14ac:dyDescent="0.35">
      <c r="A151" s="55" t="s">
        <v>330</v>
      </c>
      <c r="B151" s="2" t="s">
        <v>11</v>
      </c>
      <c r="C151" s="30" t="s">
        <v>18</v>
      </c>
      <c r="D151" s="2" t="s">
        <v>313</v>
      </c>
      <c r="E151" s="96" t="s">
        <v>1079</v>
      </c>
      <c r="F151" s="70">
        <v>45674</v>
      </c>
      <c r="G151" s="30" t="s">
        <v>150</v>
      </c>
      <c r="H151" s="94" t="s">
        <v>1080</v>
      </c>
      <c r="I151" s="101">
        <v>60000000</v>
      </c>
      <c r="J151" s="101">
        <v>0</v>
      </c>
      <c r="K151" s="47">
        <v>60000000</v>
      </c>
      <c r="L151" s="77" t="s">
        <v>84</v>
      </c>
      <c r="M151" s="54">
        <v>830015429</v>
      </c>
      <c r="N151" s="30" t="s">
        <v>97</v>
      </c>
      <c r="O151" s="2" t="s">
        <v>1082</v>
      </c>
      <c r="P151" s="73" t="s">
        <v>318</v>
      </c>
      <c r="Q151" s="3"/>
      <c r="R151" s="32">
        <f>+Tabla1513[[#This Row],[VALOR INICIAL DEL CONTRATO CON IVA]]+Tabla1513[[#This Row],[VALOR DE LAS ADICIONES CON IVA]]</f>
        <v>60000000</v>
      </c>
      <c r="S151" s="48">
        <f>+Tabla1513[[#This Row],[FECHA TERMINACIÓN INICIAL CONTRATO]]-Tabla1513[[#This Row],[FECHA INICIO CONTRATO]]</f>
        <v>348</v>
      </c>
      <c r="T151" s="24" t="s">
        <v>318</v>
      </c>
      <c r="U151" s="4"/>
      <c r="V151" s="56" t="s">
        <v>318</v>
      </c>
      <c r="W151" s="70">
        <v>45674</v>
      </c>
      <c r="X151" s="70">
        <v>46022</v>
      </c>
      <c r="Y151" s="70">
        <v>46022</v>
      </c>
      <c r="Z151" s="72" t="s">
        <v>319</v>
      </c>
      <c r="AA151" s="60"/>
      <c r="AB151" s="60"/>
      <c r="AC151" s="56" t="s">
        <v>1063</v>
      </c>
      <c r="AD151" s="34"/>
      <c r="AE151" s="34"/>
      <c r="AF151" s="35"/>
      <c r="AG151" s="36" t="s">
        <v>1450</v>
      </c>
      <c r="AH151" s="63">
        <v>2025</v>
      </c>
    </row>
    <row r="152" spans="1:34" ht="43.5" x14ac:dyDescent="0.35">
      <c r="A152" s="55" t="s">
        <v>330</v>
      </c>
      <c r="B152" s="2" t="s">
        <v>440</v>
      </c>
      <c r="C152" s="30" t="s">
        <v>818</v>
      </c>
      <c r="D152" s="2" t="s">
        <v>313</v>
      </c>
      <c r="E152" s="96" t="s">
        <v>1083</v>
      </c>
      <c r="F152" s="70">
        <v>45678</v>
      </c>
      <c r="G152" s="30" t="s">
        <v>150</v>
      </c>
      <c r="H152" s="94" t="s">
        <v>819</v>
      </c>
      <c r="I152" s="101">
        <v>32494552</v>
      </c>
      <c r="J152" s="101">
        <v>0</v>
      </c>
      <c r="K152" s="47">
        <v>32494552</v>
      </c>
      <c r="L152" s="77" t="s">
        <v>96</v>
      </c>
      <c r="M152" s="54">
        <v>1000127393</v>
      </c>
      <c r="N152" s="30"/>
      <c r="O152" s="2" t="s">
        <v>820</v>
      </c>
      <c r="P152" s="73" t="s">
        <v>318</v>
      </c>
      <c r="Q152" s="3"/>
      <c r="R152" s="32">
        <f>+Tabla1513[[#This Row],[VALOR INICIAL DEL CONTRATO CON IVA]]+Tabla1513[[#This Row],[VALOR DE LAS ADICIONES CON IVA]]</f>
        <v>32494552</v>
      </c>
      <c r="S152" s="48">
        <f>+Tabla1513[[#This Row],[FECHA TERMINACIÓN INICIAL CONTRATO]]-Tabla1513[[#This Row],[FECHA INICIO CONTRATO]]</f>
        <v>342</v>
      </c>
      <c r="T152" s="24" t="s">
        <v>318</v>
      </c>
      <c r="U152" s="4"/>
      <c r="V152" s="56" t="s">
        <v>318</v>
      </c>
      <c r="W152" s="70">
        <v>45680</v>
      </c>
      <c r="X152" s="70">
        <v>46022</v>
      </c>
      <c r="Y152" s="70">
        <v>46022</v>
      </c>
      <c r="Z152" s="72" t="s">
        <v>319</v>
      </c>
      <c r="AA152" s="60"/>
      <c r="AB152" s="60"/>
      <c r="AC152" s="56" t="s">
        <v>441</v>
      </c>
      <c r="AD152" s="34"/>
      <c r="AE152" s="34"/>
      <c r="AF152" s="35"/>
      <c r="AG152" s="36" t="s">
        <v>1321</v>
      </c>
      <c r="AH152" s="63">
        <v>2025</v>
      </c>
    </row>
    <row r="153" spans="1:34" ht="43.5" x14ac:dyDescent="0.35">
      <c r="A153" s="55" t="s">
        <v>330</v>
      </c>
      <c r="B153" s="2" t="s">
        <v>440</v>
      </c>
      <c r="C153" s="30" t="s">
        <v>818</v>
      </c>
      <c r="D153" s="2" t="s">
        <v>313</v>
      </c>
      <c r="E153" s="96" t="s">
        <v>1084</v>
      </c>
      <c r="F153" s="70">
        <v>45678</v>
      </c>
      <c r="G153" s="30" t="s">
        <v>150</v>
      </c>
      <c r="H153" s="94" t="s">
        <v>819</v>
      </c>
      <c r="I153" s="101">
        <v>32494552</v>
      </c>
      <c r="J153" s="101">
        <v>0</v>
      </c>
      <c r="K153" s="47">
        <v>32494552</v>
      </c>
      <c r="L153" s="77" t="s">
        <v>96</v>
      </c>
      <c r="M153" s="54">
        <v>52980472</v>
      </c>
      <c r="N153" s="30"/>
      <c r="O153" s="2" t="s">
        <v>1085</v>
      </c>
      <c r="P153" s="73" t="s">
        <v>318</v>
      </c>
      <c r="Q153" s="3"/>
      <c r="R153" s="32">
        <f>+Tabla1513[[#This Row],[VALOR INICIAL DEL CONTRATO CON IVA]]+Tabla1513[[#This Row],[VALOR DE LAS ADICIONES CON IVA]]</f>
        <v>32494552</v>
      </c>
      <c r="S153" s="48">
        <f>+Tabla1513[[#This Row],[FECHA TERMINACIÓN INICIAL CONTRATO]]-Tabla1513[[#This Row],[FECHA INICIO CONTRATO]]</f>
        <v>342</v>
      </c>
      <c r="T153" s="24" t="s">
        <v>318</v>
      </c>
      <c r="U153" s="4"/>
      <c r="V153" s="56" t="s">
        <v>318</v>
      </c>
      <c r="W153" s="70">
        <v>45680</v>
      </c>
      <c r="X153" s="70">
        <v>46022</v>
      </c>
      <c r="Y153" s="70">
        <v>46022</v>
      </c>
      <c r="Z153" s="72" t="s">
        <v>319</v>
      </c>
      <c r="AA153" s="60"/>
      <c r="AB153" s="60"/>
      <c r="AC153" s="56" t="s">
        <v>441</v>
      </c>
      <c r="AD153" s="34"/>
      <c r="AE153" s="34"/>
      <c r="AF153" s="35"/>
      <c r="AG153" s="36" t="s">
        <v>1322</v>
      </c>
      <c r="AH153" s="63">
        <v>2025</v>
      </c>
    </row>
    <row r="154" spans="1:34" ht="72.5" x14ac:dyDescent="0.35">
      <c r="A154" s="55" t="s">
        <v>330</v>
      </c>
      <c r="B154" s="2" t="s">
        <v>31</v>
      </c>
      <c r="C154" s="30" t="s">
        <v>36</v>
      </c>
      <c r="D154" s="2" t="s">
        <v>412</v>
      </c>
      <c r="E154" s="96" t="s">
        <v>1086</v>
      </c>
      <c r="F154" s="70">
        <v>45687</v>
      </c>
      <c r="G154" s="30" t="s">
        <v>150</v>
      </c>
      <c r="H154" s="94" t="s">
        <v>1088</v>
      </c>
      <c r="I154" s="101">
        <v>4558117000</v>
      </c>
      <c r="J154" s="101">
        <v>858442230</v>
      </c>
      <c r="K154" s="47">
        <v>5416559230</v>
      </c>
      <c r="L154" s="77" t="s">
        <v>84</v>
      </c>
      <c r="M154" s="54">
        <v>901905293</v>
      </c>
      <c r="N154" s="30" t="s">
        <v>108</v>
      </c>
      <c r="O154" s="2" t="s">
        <v>1090</v>
      </c>
      <c r="P154" s="73" t="s">
        <v>318</v>
      </c>
      <c r="Q154" s="3"/>
      <c r="R154" s="32">
        <f>+Tabla1513[[#This Row],[VALOR INICIAL DEL CONTRATO CON IVA]]+Tabla1513[[#This Row],[VALOR DE LAS ADICIONES CON IVA]]</f>
        <v>5416559230</v>
      </c>
      <c r="S154" s="48">
        <f>+Tabla1513[[#This Row],[FECHA TERMINACIÓN INICIAL CONTRATO]]-Tabla1513[[#This Row],[FECHA INICIO CONTRATO]]</f>
        <v>1123</v>
      </c>
      <c r="T154" s="24" t="s">
        <v>318</v>
      </c>
      <c r="U154" s="4"/>
      <c r="V154" s="56" t="s">
        <v>318</v>
      </c>
      <c r="W154" s="70">
        <v>45688</v>
      </c>
      <c r="X154" s="70">
        <v>46811</v>
      </c>
      <c r="Y154" s="70">
        <v>46811</v>
      </c>
      <c r="Z154" s="72" t="s">
        <v>319</v>
      </c>
      <c r="AA154" s="60"/>
      <c r="AB154" s="60"/>
      <c r="AC154" s="56" t="s">
        <v>1092</v>
      </c>
      <c r="AD154" s="34"/>
      <c r="AE154" s="34"/>
      <c r="AF154" s="35"/>
      <c r="AG154" s="36" t="s">
        <v>1323</v>
      </c>
      <c r="AH154" s="63">
        <v>2025</v>
      </c>
    </row>
    <row r="155" spans="1:34" ht="43.5" x14ac:dyDescent="0.35">
      <c r="A155" s="55" t="s">
        <v>330</v>
      </c>
      <c r="B155" s="2" t="s">
        <v>440</v>
      </c>
      <c r="C155" s="30" t="s">
        <v>818</v>
      </c>
      <c r="D155" s="2" t="s">
        <v>313</v>
      </c>
      <c r="E155" s="96" t="s">
        <v>1087</v>
      </c>
      <c r="F155" s="70">
        <v>45678</v>
      </c>
      <c r="G155" s="30" t="s">
        <v>150</v>
      </c>
      <c r="H155" s="94" t="s">
        <v>1089</v>
      </c>
      <c r="I155" s="101">
        <v>32494552</v>
      </c>
      <c r="J155" s="101">
        <v>0</v>
      </c>
      <c r="K155" s="47">
        <v>32494552</v>
      </c>
      <c r="L155" s="77" t="s">
        <v>96</v>
      </c>
      <c r="M155" s="54">
        <v>1019081060</v>
      </c>
      <c r="N155" s="30"/>
      <c r="O155" s="2" t="s">
        <v>1091</v>
      </c>
      <c r="P155" s="73" t="s">
        <v>318</v>
      </c>
      <c r="Q155" s="3"/>
      <c r="R155" s="32">
        <f>+Tabla1513[[#This Row],[VALOR INICIAL DEL CONTRATO CON IVA]]+Tabla1513[[#This Row],[VALOR DE LAS ADICIONES CON IVA]]</f>
        <v>32494552</v>
      </c>
      <c r="S155" s="48">
        <f>+Tabla1513[[#This Row],[FECHA TERMINACIÓN INICIAL CONTRATO]]-Tabla1513[[#This Row],[FECHA INICIO CONTRATO]]</f>
        <v>342</v>
      </c>
      <c r="T155" s="24" t="s">
        <v>318</v>
      </c>
      <c r="U155" s="4"/>
      <c r="V155" s="56" t="s">
        <v>318</v>
      </c>
      <c r="W155" s="70">
        <v>45680</v>
      </c>
      <c r="X155" s="70">
        <v>46022</v>
      </c>
      <c r="Y155" s="70">
        <v>46022</v>
      </c>
      <c r="Z155" s="72" t="s">
        <v>319</v>
      </c>
      <c r="AA155" s="60"/>
      <c r="AB155" s="60"/>
      <c r="AC155" s="56" t="s">
        <v>441</v>
      </c>
      <c r="AD155" s="34"/>
      <c r="AE155" s="34"/>
      <c r="AF155" s="35"/>
      <c r="AG155" s="36" t="s">
        <v>1451</v>
      </c>
      <c r="AH155" s="63">
        <v>2025</v>
      </c>
    </row>
    <row r="156" spans="1:34" ht="43.5" x14ac:dyDescent="0.35">
      <c r="A156" s="55" t="s">
        <v>330</v>
      </c>
      <c r="B156" s="2" t="s">
        <v>440</v>
      </c>
      <c r="C156" s="30" t="s">
        <v>818</v>
      </c>
      <c r="D156" s="2" t="s">
        <v>313</v>
      </c>
      <c r="E156" s="96" t="s">
        <v>1093</v>
      </c>
      <c r="F156" s="70">
        <v>45678</v>
      </c>
      <c r="G156" s="30" t="s">
        <v>150</v>
      </c>
      <c r="H156" s="94" t="s">
        <v>819</v>
      </c>
      <c r="I156" s="101">
        <v>32494552</v>
      </c>
      <c r="J156" s="101">
        <v>0</v>
      </c>
      <c r="K156" s="47">
        <v>32494552</v>
      </c>
      <c r="L156" s="77" t="s">
        <v>96</v>
      </c>
      <c r="M156" s="54">
        <v>1030607665</v>
      </c>
      <c r="N156" s="30"/>
      <c r="O156" s="2" t="s">
        <v>821</v>
      </c>
      <c r="P156" s="73" t="s">
        <v>318</v>
      </c>
      <c r="Q156" s="3"/>
      <c r="R156" s="32">
        <f>+Tabla1513[[#This Row],[VALOR INICIAL DEL CONTRATO CON IVA]]+Tabla1513[[#This Row],[VALOR DE LAS ADICIONES CON IVA]]</f>
        <v>32494552</v>
      </c>
      <c r="S156" s="48">
        <f>+Tabla1513[[#This Row],[FECHA TERMINACIÓN INICIAL CONTRATO]]-Tabla1513[[#This Row],[FECHA INICIO CONTRATO]]</f>
        <v>342</v>
      </c>
      <c r="T156" s="24" t="s">
        <v>318</v>
      </c>
      <c r="U156" s="4"/>
      <c r="V156" s="56" t="s">
        <v>318</v>
      </c>
      <c r="W156" s="70">
        <v>45680</v>
      </c>
      <c r="X156" s="70">
        <v>46022</v>
      </c>
      <c r="Y156" s="70">
        <v>46022</v>
      </c>
      <c r="Z156" s="72" t="s">
        <v>319</v>
      </c>
      <c r="AA156" s="60"/>
      <c r="AB156" s="60"/>
      <c r="AC156" s="56" t="s">
        <v>441</v>
      </c>
      <c r="AD156" s="34"/>
      <c r="AE156" s="34"/>
      <c r="AF156" s="35"/>
      <c r="AG156" s="36" t="s">
        <v>1324</v>
      </c>
      <c r="AH156" s="63">
        <v>2025</v>
      </c>
    </row>
    <row r="157" spans="1:34" ht="29" x14ac:dyDescent="0.35">
      <c r="A157" s="55" t="s">
        <v>330</v>
      </c>
      <c r="B157" s="2" t="s">
        <v>473</v>
      </c>
      <c r="C157" s="30" t="s">
        <v>62</v>
      </c>
      <c r="D157" s="2" t="s">
        <v>313</v>
      </c>
      <c r="E157" s="96" t="s">
        <v>1094</v>
      </c>
      <c r="F157" s="70">
        <v>45677</v>
      </c>
      <c r="G157" s="30" t="s">
        <v>150</v>
      </c>
      <c r="H157" s="94" t="s">
        <v>1096</v>
      </c>
      <c r="I157" s="101">
        <v>48880904</v>
      </c>
      <c r="J157" s="101">
        <v>7598723</v>
      </c>
      <c r="K157" s="47">
        <v>56479627</v>
      </c>
      <c r="L157" s="77" t="s">
        <v>84</v>
      </c>
      <c r="M157" s="54">
        <v>901011256</v>
      </c>
      <c r="N157" s="30" t="s">
        <v>108</v>
      </c>
      <c r="O157" s="2" t="s">
        <v>840</v>
      </c>
      <c r="P157" s="73" t="s">
        <v>318</v>
      </c>
      <c r="Q157" s="3"/>
      <c r="R157" s="32">
        <f>+Tabla1513[[#This Row],[VALOR INICIAL DEL CONTRATO CON IVA]]+Tabla1513[[#This Row],[VALOR DE LAS ADICIONES CON IVA]]</f>
        <v>56479627</v>
      </c>
      <c r="S157" s="48">
        <f>+Tabla1513[[#This Row],[FECHA TERMINACIÓN INICIAL CONTRATO]]-Tabla1513[[#This Row],[FECHA INICIO CONTRATO]]</f>
        <v>337</v>
      </c>
      <c r="T157" s="24" t="s">
        <v>318</v>
      </c>
      <c r="U157" s="4"/>
      <c r="V157" s="56" t="s">
        <v>318</v>
      </c>
      <c r="W157" s="70">
        <v>45685</v>
      </c>
      <c r="X157" s="70">
        <v>46022</v>
      </c>
      <c r="Y157" s="70">
        <v>46022</v>
      </c>
      <c r="Z157" s="72" t="s">
        <v>319</v>
      </c>
      <c r="AA157" s="60"/>
      <c r="AB157" s="60"/>
      <c r="AC157" s="56" t="s">
        <v>1099</v>
      </c>
      <c r="AD157" s="34"/>
      <c r="AE157" s="34"/>
      <c r="AF157" s="35"/>
      <c r="AG157" s="36" t="s">
        <v>1003</v>
      </c>
      <c r="AH157" s="63">
        <v>2025</v>
      </c>
    </row>
    <row r="158" spans="1:34" ht="43.5" x14ac:dyDescent="0.35">
      <c r="A158" s="55" t="s">
        <v>330</v>
      </c>
      <c r="B158" s="2" t="s">
        <v>440</v>
      </c>
      <c r="C158" s="30" t="s">
        <v>818</v>
      </c>
      <c r="D158" s="2" t="s">
        <v>313</v>
      </c>
      <c r="E158" s="96" t="s">
        <v>1095</v>
      </c>
      <c r="F158" s="70">
        <v>45677</v>
      </c>
      <c r="G158" s="30" t="s">
        <v>150</v>
      </c>
      <c r="H158" s="94" t="s">
        <v>819</v>
      </c>
      <c r="I158" s="111">
        <v>32494552</v>
      </c>
      <c r="J158" s="101">
        <v>0</v>
      </c>
      <c r="K158" s="47">
        <v>32494552</v>
      </c>
      <c r="L158" s="77" t="s">
        <v>96</v>
      </c>
      <c r="M158" s="54">
        <v>1019040708</v>
      </c>
      <c r="N158" s="30"/>
      <c r="O158" s="2" t="s">
        <v>823</v>
      </c>
      <c r="P158" s="73" t="s">
        <v>318</v>
      </c>
      <c r="Q158" s="3"/>
      <c r="R158" s="32">
        <f>+Tabla1513[[#This Row],[VALOR INICIAL DEL CONTRATO CON IVA]]+Tabla1513[[#This Row],[VALOR DE LAS ADICIONES CON IVA]]</f>
        <v>32494552</v>
      </c>
      <c r="S158" s="48">
        <f>+Tabla1513[[#This Row],[FECHA TERMINACIÓN INICIAL CONTRATO]]-Tabla1513[[#This Row],[FECHA INICIO CONTRATO]]</f>
        <v>342</v>
      </c>
      <c r="T158" s="24" t="s">
        <v>318</v>
      </c>
      <c r="U158" s="4"/>
      <c r="V158" s="56" t="s">
        <v>318</v>
      </c>
      <c r="W158" s="70">
        <v>45680</v>
      </c>
      <c r="X158" s="70">
        <v>46022</v>
      </c>
      <c r="Y158" s="70">
        <v>46022</v>
      </c>
      <c r="Z158" s="72" t="s">
        <v>319</v>
      </c>
      <c r="AA158" s="60"/>
      <c r="AB158" s="131"/>
      <c r="AC158" s="56" t="s">
        <v>441</v>
      </c>
      <c r="AD158" s="34"/>
      <c r="AE158" s="34"/>
      <c r="AF158" s="35"/>
      <c r="AG158" s="36" t="s">
        <v>1325</v>
      </c>
      <c r="AH158" s="63">
        <v>2025</v>
      </c>
    </row>
    <row r="159" spans="1:34" s="30" customFormat="1" ht="43.5" x14ac:dyDescent="0.35">
      <c r="A159" s="55" t="s">
        <v>330</v>
      </c>
      <c r="B159" s="2" t="s">
        <v>440</v>
      </c>
      <c r="C159" s="30" t="s">
        <v>818</v>
      </c>
      <c r="D159" s="2" t="s">
        <v>313</v>
      </c>
      <c r="E159" s="96" t="s">
        <v>1097</v>
      </c>
      <c r="F159" s="70">
        <v>45677</v>
      </c>
      <c r="G159" s="30" t="s">
        <v>150</v>
      </c>
      <c r="H159" s="94" t="s">
        <v>819</v>
      </c>
      <c r="I159" s="111">
        <v>32494504</v>
      </c>
      <c r="J159" s="101">
        <v>0</v>
      </c>
      <c r="K159" s="47">
        <v>32494504</v>
      </c>
      <c r="L159" s="77" t="s">
        <v>96</v>
      </c>
      <c r="M159" s="54">
        <v>1033677072</v>
      </c>
      <c r="O159" s="2" t="s">
        <v>1098</v>
      </c>
      <c r="P159" s="73" t="s">
        <v>318</v>
      </c>
      <c r="Q159" s="3"/>
      <c r="R159" s="32">
        <f>+Tabla1513[[#This Row],[VALOR INICIAL DEL CONTRATO CON IVA]]+Tabla1513[[#This Row],[VALOR DE LAS ADICIONES CON IVA]]</f>
        <v>32494504</v>
      </c>
      <c r="S159" s="48">
        <f>+Tabla1513[[#This Row],[FECHA TERMINACIÓN INICIAL CONTRATO]]-Tabla1513[[#This Row],[FECHA INICIO CONTRATO]]</f>
        <v>342</v>
      </c>
      <c r="T159" s="24" t="s">
        <v>318</v>
      </c>
      <c r="U159" s="4"/>
      <c r="V159" s="56" t="s">
        <v>318</v>
      </c>
      <c r="W159" s="70">
        <v>45680</v>
      </c>
      <c r="X159" s="70">
        <v>46022</v>
      </c>
      <c r="Y159" s="70">
        <v>46022</v>
      </c>
      <c r="Z159" s="72" t="s">
        <v>319</v>
      </c>
      <c r="AA159" s="60"/>
      <c r="AB159" s="131"/>
      <c r="AC159" s="56" t="s">
        <v>441</v>
      </c>
      <c r="AD159" s="34"/>
      <c r="AE159" s="34"/>
      <c r="AF159" s="35"/>
      <c r="AG159" s="36" t="s">
        <v>1326</v>
      </c>
      <c r="AH159" s="63">
        <v>2025</v>
      </c>
    </row>
    <row r="160" spans="1:34" s="30" customFormat="1" ht="43.5" x14ac:dyDescent="0.35">
      <c r="A160" s="55" t="s">
        <v>330</v>
      </c>
      <c r="B160" s="2" t="s">
        <v>440</v>
      </c>
      <c r="C160" s="30" t="s">
        <v>818</v>
      </c>
      <c r="D160" s="2" t="s">
        <v>313</v>
      </c>
      <c r="E160" s="96" t="s">
        <v>1100</v>
      </c>
      <c r="F160" s="70">
        <v>45677</v>
      </c>
      <c r="G160" s="30" t="s">
        <v>150</v>
      </c>
      <c r="H160" s="94" t="s">
        <v>819</v>
      </c>
      <c r="I160" s="111">
        <v>32494552</v>
      </c>
      <c r="J160" s="101">
        <v>0</v>
      </c>
      <c r="K160" s="47">
        <v>32494552</v>
      </c>
      <c r="L160" s="77" t="s">
        <v>96</v>
      </c>
      <c r="M160" s="54">
        <v>1072649631</v>
      </c>
      <c r="O160" s="2" t="s">
        <v>1101</v>
      </c>
      <c r="P160" s="73" t="s">
        <v>318</v>
      </c>
      <c r="Q160" s="3"/>
      <c r="R160" s="32">
        <f>+Tabla1513[[#This Row],[VALOR INICIAL DEL CONTRATO CON IVA]]+Tabla1513[[#This Row],[VALOR DE LAS ADICIONES CON IVA]]</f>
        <v>32494552</v>
      </c>
      <c r="S160" s="48">
        <f>+Tabla1513[[#This Row],[FECHA TERMINACIÓN INICIAL CONTRATO]]-Tabla1513[[#This Row],[FECHA INICIO CONTRATO]]</f>
        <v>342</v>
      </c>
      <c r="T160" s="24" t="s">
        <v>318</v>
      </c>
      <c r="U160" s="4"/>
      <c r="V160" s="56" t="s">
        <v>318</v>
      </c>
      <c r="W160" s="70">
        <v>45680</v>
      </c>
      <c r="X160" s="70">
        <v>46022</v>
      </c>
      <c r="Y160" s="70">
        <v>46022</v>
      </c>
      <c r="Z160" s="72" t="s">
        <v>319</v>
      </c>
      <c r="AA160" s="60"/>
      <c r="AB160" s="131"/>
      <c r="AC160" s="56" t="s">
        <v>441</v>
      </c>
      <c r="AD160" s="34"/>
      <c r="AE160" s="34"/>
      <c r="AF160" s="35"/>
      <c r="AG160" s="36" t="s">
        <v>1327</v>
      </c>
      <c r="AH160" s="63">
        <v>2025</v>
      </c>
    </row>
    <row r="161" spans="1:34" s="30" customFormat="1" ht="43.5" x14ac:dyDescent="0.35">
      <c r="A161" s="55" t="s">
        <v>330</v>
      </c>
      <c r="B161" s="2" t="s">
        <v>440</v>
      </c>
      <c r="C161" s="30" t="s">
        <v>818</v>
      </c>
      <c r="D161" s="2" t="s">
        <v>313</v>
      </c>
      <c r="E161" s="96" t="s">
        <v>1102</v>
      </c>
      <c r="F161" s="70">
        <v>45677</v>
      </c>
      <c r="G161" s="30" t="s">
        <v>150</v>
      </c>
      <c r="H161" s="94" t="s">
        <v>819</v>
      </c>
      <c r="I161" s="111">
        <v>32494552</v>
      </c>
      <c r="J161" s="101">
        <v>0</v>
      </c>
      <c r="K161" s="47">
        <v>32494552</v>
      </c>
      <c r="L161" s="77" t="s">
        <v>96</v>
      </c>
      <c r="M161" s="54">
        <v>52852043</v>
      </c>
      <c r="O161" s="2" t="s">
        <v>1103</v>
      </c>
      <c r="P161" s="73" t="s">
        <v>318</v>
      </c>
      <c r="Q161" s="3"/>
      <c r="R161" s="32">
        <f>+Tabla1513[[#This Row],[VALOR INICIAL DEL CONTRATO CON IVA]]+Tabla1513[[#This Row],[VALOR DE LAS ADICIONES CON IVA]]</f>
        <v>32494552</v>
      </c>
      <c r="S161" s="48">
        <f>+Tabla1513[[#This Row],[FECHA TERMINACIÓN INICIAL CONTRATO]]-Tabla1513[[#This Row],[FECHA INICIO CONTRATO]]</f>
        <v>342</v>
      </c>
      <c r="T161" s="24" t="s">
        <v>318</v>
      </c>
      <c r="U161" s="4"/>
      <c r="V161" s="56" t="s">
        <v>318</v>
      </c>
      <c r="W161" s="70">
        <v>45680</v>
      </c>
      <c r="X161" s="70">
        <v>46022</v>
      </c>
      <c r="Y161" s="70">
        <v>46022</v>
      </c>
      <c r="Z161" s="72" t="s">
        <v>319</v>
      </c>
      <c r="AA161" s="60"/>
      <c r="AB161" s="131"/>
      <c r="AC161" s="56" t="s">
        <v>441</v>
      </c>
      <c r="AD161" s="34"/>
      <c r="AE161" s="34"/>
      <c r="AF161" s="35"/>
      <c r="AG161" s="36" t="s">
        <v>1328</v>
      </c>
      <c r="AH161" s="63">
        <v>2025</v>
      </c>
    </row>
    <row r="162" spans="1:34" s="30" customFormat="1" ht="43.5" x14ac:dyDescent="0.35">
      <c r="A162" s="55" t="s">
        <v>330</v>
      </c>
      <c r="B162" s="2" t="s">
        <v>440</v>
      </c>
      <c r="C162" s="30" t="s">
        <v>818</v>
      </c>
      <c r="D162" s="2" t="s">
        <v>313</v>
      </c>
      <c r="E162" s="96" t="s">
        <v>1104</v>
      </c>
      <c r="F162" s="70">
        <v>45679</v>
      </c>
      <c r="G162" s="30" t="s">
        <v>150</v>
      </c>
      <c r="H162" s="94" t="s">
        <v>819</v>
      </c>
      <c r="I162" s="111">
        <v>32494552</v>
      </c>
      <c r="J162" s="101">
        <v>0</v>
      </c>
      <c r="K162" s="47">
        <v>32494552</v>
      </c>
      <c r="L162" s="77" t="s">
        <v>96</v>
      </c>
      <c r="M162" s="54">
        <v>52963769</v>
      </c>
      <c r="O162" s="2" t="s">
        <v>841</v>
      </c>
      <c r="P162" s="73" t="s">
        <v>318</v>
      </c>
      <c r="Q162" s="3"/>
      <c r="R162" s="32">
        <f>+Tabla1513[[#This Row],[VALOR INICIAL DEL CONTRATO CON IVA]]+Tabla1513[[#This Row],[VALOR DE LAS ADICIONES CON IVA]]</f>
        <v>32494552</v>
      </c>
      <c r="S162" s="48">
        <f>+Tabla1513[[#This Row],[FECHA TERMINACIÓN INICIAL CONTRATO]]-Tabla1513[[#This Row],[FECHA INICIO CONTRATO]]</f>
        <v>234</v>
      </c>
      <c r="T162" s="24" t="s">
        <v>318</v>
      </c>
      <c r="U162" s="4"/>
      <c r="V162" s="56" t="s">
        <v>318</v>
      </c>
      <c r="W162" s="70">
        <v>45681</v>
      </c>
      <c r="X162" s="70">
        <v>45915</v>
      </c>
      <c r="Y162" s="70">
        <v>45915</v>
      </c>
      <c r="Z162" s="72" t="s">
        <v>411</v>
      </c>
      <c r="AA162" s="60">
        <v>45940</v>
      </c>
      <c r="AB162" s="131" t="s">
        <v>713</v>
      </c>
      <c r="AC162" s="56" t="s">
        <v>441</v>
      </c>
      <c r="AD162" s="34">
        <v>0.65</v>
      </c>
      <c r="AE162" s="89">
        <f>+Tabla1513[[#This Row],[VALOR PAGADO (EN PESOS)]]/Tabla1513[[#This Row],[VALOR TOTAL DEL CONTRATO CON IVA (VALOR INICIAL + ADICIONES) ]]</f>
        <v>0.64722215588631593</v>
      </c>
      <c r="AF162" s="35">
        <v>21031194</v>
      </c>
      <c r="AG162" s="36" t="s">
        <v>1329</v>
      </c>
      <c r="AH162" s="63">
        <v>2025</v>
      </c>
    </row>
    <row r="163" spans="1:34" s="30" customFormat="1" ht="43.5" x14ac:dyDescent="0.35">
      <c r="A163" s="55" t="s">
        <v>330</v>
      </c>
      <c r="B163" s="2" t="s">
        <v>440</v>
      </c>
      <c r="C163" s="30" t="s">
        <v>818</v>
      </c>
      <c r="D163" s="2" t="s">
        <v>313</v>
      </c>
      <c r="E163" s="96" t="s">
        <v>1105</v>
      </c>
      <c r="F163" s="70">
        <v>45678</v>
      </c>
      <c r="G163" s="30" t="s">
        <v>150</v>
      </c>
      <c r="H163" s="94" t="s">
        <v>819</v>
      </c>
      <c r="I163" s="111">
        <v>32494552</v>
      </c>
      <c r="J163" s="101">
        <v>0</v>
      </c>
      <c r="K163" s="47">
        <v>32494552</v>
      </c>
      <c r="L163" s="77" t="s">
        <v>96</v>
      </c>
      <c r="M163" s="54">
        <v>79842102</v>
      </c>
      <c r="O163" s="2" t="s">
        <v>822</v>
      </c>
      <c r="P163" s="73" t="s">
        <v>318</v>
      </c>
      <c r="Q163" s="3"/>
      <c r="R163" s="32">
        <f>+Tabla1513[[#This Row],[VALOR INICIAL DEL CONTRATO CON IVA]]+Tabla1513[[#This Row],[VALOR DE LAS ADICIONES CON IVA]]</f>
        <v>32494552</v>
      </c>
      <c r="S163" s="48">
        <f>+Tabla1513[[#This Row],[FECHA TERMINACIÓN INICIAL CONTRATO]]-Tabla1513[[#This Row],[FECHA INICIO CONTRATO]]</f>
        <v>341</v>
      </c>
      <c r="T163" s="24" t="s">
        <v>318</v>
      </c>
      <c r="U163" s="4"/>
      <c r="V163" s="56" t="s">
        <v>318</v>
      </c>
      <c r="W163" s="70">
        <v>45681</v>
      </c>
      <c r="X163" s="70">
        <v>46022</v>
      </c>
      <c r="Y163" s="70">
        <v>46022</v>
      </c>
      <c r="Z163" s="72" t="s">
        <v>319</v>
      </c>
      <c r="AA163" s="60"/>
      <c r="AB163" s="131"/>
      <c r="AC163" s="56" t="s">
        <v>441</v>
      </c>
      <c r="AD163" s="34"/>
      <c r="AE163" s="34"/>
      <c r="AF163" s="35"/>
      <c r="AG163" s="36" t="s">
        <v>1452</v>
      </c>
      <c r="AH163" s="63">
        <v>2025</v>
      </c>
    </row>
    <row r="164" spans="1:34" s="30" customFormat="1" ht="43.5" x14ac:dyDescent="0.35">
      <c r="A164" s="55" t="s">
        <v>330</v>
      </c>
      <c r="B164" s="2" t="s">
        <v>440</v>
      </c>
      <c r="C164" s="30" t="s">
        <v>818</v>
      </c>
      <c r="D164" s="2" t="s">
        <v>313</v>
      </c>
      <c r="E164" s="96" t="s">
        <v>1106</v>
      </c>
      <c r="F164" s="70">
        <v>45678</v>
      </c>
      <c r="G164" s="30" t="s">
        <v>150</v>
      </c>
      <c r="H164" s="94" t="s">
        <v>819</v>
      </c>
      <c r="I164" s="111">
        <v>32494552</v>
      </c>
      <c r="J164" s="101">
        <v>0</v>
      </c>
      <c r="K164" s="47">
        <v>32494552</v>
      </c>
      <c r="L164" s="77" t="s">
        <v>96</v>
      </c>
      <c r="M164" s="54">
        <v>79531036</v>
      </c>
      <c r="O164" s="2" t="s">
        <v>1108</v>
      </c>
      <c r="P164" s="73" t="s">
        <v>318</v>
      </c>
      <c r="Q164" s="3"/>
      <c r="R164" s="32">
        <f>+Tabla1513[[#This Row],[VALOR INICIAL DEL CONTRATO CON IVA]]+Tabla1513[[#This Row],[VALOR DE LAS ADICIONES CON IVA]]</f>
        <v>32494552</v>
      </c>
      <c r="S164" s="48">
        <f>+Tabla1513[[#This Row],[FECHA TERMINACIÓN INICIAL CONTRATO]]-Tabla1513[[#This Row],[FECHA INICIO CONTRATO]]</f>
        <v>341</v>
      </c>
      <c r="T164" s="24" t="s">
        <v>318</v>
      </c>
      <c r="U164" s="4"/>
      <c r="V164" s="56" t="s">
        <v>318</v>
      </c>
      <c r="W164" s="70">
        <v>45681</v>
      </c>
      <c r="X164" s="70">
        <v>46022</v>
      </c>
      <c r="Y164" s="70">
        <v>46022</v>
      </c>
      <c r="Z164" s="72" t="s">
        <v>319</v>
      </c>
      <c r="AA164" s="60"/>
      <c r="AB164" s="131"/>
      <c r="AC164" s="56" t="s">
        <v>441</v>
      </c>
      <c r="AD164" s="34"/>
      <c r="AE164" s="34"/>
      <c r="AF164" s="35"/>
      <c r="AG164" s="36" t="s">
        <v>1330</v>
      </c>
      <c r="AH164" s="63">
        <v>2025</v>
      </c>
    </row>
    <row r="165" spans="1:34" s="30" customFormat="1" ht="43.5" x14ac:dyDescent="0.35">
      <c r="A165" s="55" t="s">
        <v>330</v>
      </c>
      <c r="B165" s="2" t="s">
        <v>440</v>
      </c>
      <c r="C165" s="30" t="s">
        <v>818</v>
      </c>
      <c r="D165" s="2" t="s">
        <v>313</v>
      </c>
      <c r="E165" s="96" t="s">
        <v>1107</v>
      </c>
      <c r="F165" s="70">
        <v>45678</v>
      </c>
      <c r="G165" s="30" t="s">
        <v>150</v>
      </c>
      <c r="H165" s="94" t="s">
        <v>819</v>
      </c>
      <c r="I165" s="111">
        <v>32494552</v>
      </c>
      <c r="J165" s="101">
        <v>0</v>
      </c>
      <c r="K165" s="47">
        <v>32494552</v>
      </c>
      <c r="L165" s="77" t="s">
        <v>96</v>
      </c>
      <c r="M165" s="54">
        <v>1000118556</v>
      </c>
      <c r="O165" s="2" t="s">
        <v>1109</v>
      </c>
      <c r="P165" s="73" t="s">
        <v>318</v>
      </c>
      <c r="Q165" s="3"/>
      <c r="R165" s="32">
        <f>+Tabla1513[[#This Row],[VALOR INICIAL DEL CONTRATO CON IVA]]+Tabla1513[[#This Row],[VALOR DE LAS ADICIONES CON IVA]]</f>
        <v>32494552</v>
      </c>
      <c r="S165" s="48">
        <f>+Tabla1513[[#This Row],[FECHA TERMINACIÓN INICIAL CONTRATO]]-Tabla1513[[#This Row],[FECHA INICIO CONTRATO]]</f>
        <v>108</v>
      </c>
      <c r="T165" s="24" t="s">
        <v>318</v>
      </c>
      <c r="U165" s="4"/>
      <c r="V165" s="56" t="s">
        <v>318</v>
      </c>
      <c r="W165" s="70">
        <v>45681</v>
      </c>
      <c r="X165" s="70">
        <v>45789</v>
      </c>
      <c r="Y165" s="70">
        <v>45789</v>
      </c>
      <c r="Z165" s="72" t="s">
        <v>411</v>
      </c>
      <c r="AA165" s="60">
        <v>45799</v>
      </c>
      <c r="AB165" s="131" t="s">
        <v>713</v>
      </c>
      <c r="AC165" s="56" t="s">
        <v>441</v>
      </c>
      <c r="AD165" s="34">
        <v>0.19</v>
      </c>
      <c r="AE165" s="89">
        <v>0.19</v>
      </c>
      <c r="AF165" s="35">
        <v>6090844</v>
      </c>
      <c r="AG165" s="36" t="s">
        <v>1331</v>
      </c>
      <c r="AH165" s="63">
        <v>2025</v>
      </c>
    </row>
    <row r="166" spans="1:34" s="30" customFormat="1" ht="29" x14ac:dyDescent="0.35">
      <c r="A166" s="55" t="s">
        <v>330</v>
      </c>
      <c r="B166" s="2" t="s">
        <v>11</v>
      </c>
      <c r="C166" s="30" t="s">
        <v>19</v>
      </c>
      <c r="D166" s="2" t="s">
        <v>412</v>
      </c>
      <c r="E166" s="96" t="s">
        <v>1110</v>
      </c>
      <c r="F166" s="70">
        <v>45658</v>
      </c>
      <c r="G166" s="30" t="s">
        <v>160</v>
      </c>
      <c r="H166" s="94" t="s">
        <v>1112</v>
      </c>
      <c r="I166" s="81">
        <v>1488454822</v>
      </c>
      <c r="J166" s="32">
        <v>282806416.17999989</v>
      </c>
      <c r="K166" s="47">
        <v>1771261238.1799998</v>
      </c>
      <c r="L166" s="77" t="s">
        <v>84</v>
      </c>
      <c r="M166" s="54">
        <v>860037707</v>
      </c>
      <c r="N166" s="30" t="s">
        <v>123</v>
      </c>
      <c r="O166" s="2" t="s">
        <v>711</v>
      </c>
      <c r="P166" s="73" t="s">
        <v>318</v>
      </c>
      <c r="Q166" s="3"/>
      <c r="R166" s="32">
        <f>+Tabla1513[[#This Row],[VALOR INICIAL DEL CONTRATO CON IVA]]+Tabla1513[[#This Row],[VALOR DE LAS ADICIONES CON IVA]]</f>
        <v>1771261238.1799998</v>
      </c>
      <c r="S166" s="48">
        <f>+Tabla1513[[#This Row],[FECHA TERMINACIÓN INICIAL CONTRATO]]-Tabla1513[[#This Row],[FECHA INICIO CONTRATO]]</f>
        <v>364</v>
      </c>
      <c r="T166" s="24" t="s">
        <v>318</v>
      </c>
      <c r="U166" s="4"/>
      <c r="V166" s="56" t="s">
        <v>318</v>
      </c>
      <c r="W166" s="70">
        <v>45658</v>
      </c>
      <c r="X166" s="70">
        <v>46022</v>
      </c>
      <c r="Y166" s="70">
        <v>46022</v>
      </c>
      <c r="Z166" s="72" t="s">
        <v>319</v>
      </c>
      <c r="AA166" s="60"/>
      <c r="AB166" s="131"/>
      <c r="AC166" s="56" t="s">
        <v>710</v>
      </c>
      <c r="AD166" s="34"/>
      <c r="AE166" s="34"/>
      <c r="AF166" s="35"/>
      <c r="AG166" s="36" t="s">
        <v>1846</v>
      </c>
      <c r="AH166" s="63">
        <v>2025</v>
      </c>
    </row>
    <row r="167" spans="1:34" s="30" customFormat="1" ht="43.5" x14ac:dyDescent="0.35">
      <c r="A167" s="55" t="s">
        <v>330</v>
      </c>
      <c r="B167" s="2" t="s">
        <v>11</v>
      </c>
      <c r="C167" s="30" t="s">
        <v>20</v>
      </c>
      <c r="D167" s="2" t="s">
        <v>313</v>
      </c>
      <c r="E167" s="96" t="s">
        <v>1111</v>
      </c>
      <c r="F167" s="70">
        <v>45674</v>
      </c>
      <c r="G167" s="30" t="s">
        <v>150</v>
      </c>
      <c r="H167" s="94" t="s">
        <v>1113</v>
      </c>
      <c r="I167" s="111">
        <v>15885000</v>
      </c>
      <c r="J167" s="101">
        <v>3018150</v>
      </c>
      <c r="K167" s="47">
        <v>18903150</v>
      </c>
      <c r="L167" s="77" t="s">
        <v>84</v>
      </c>
      <c r="M167" s="54">
        <v>860006812</v>
      </c>
      <c r="N167" s="30" t="s">
        <v>91</v>
      </c>
      <c r="O167" s="2" t="s">
        <v>1114</v>
      </c>
      <c r="P167" s="73" t="s">
        <v>317</v>
      </c>
      <c r="Q167" s="3">
        <v>18903150</v>
      </c>
      <c r="R167" s="32">
        <f>+Tabla1513[[#This Row],[VALOR INICIAL DEL CONTRATO CON IVA]]+Tabla1513[[#This Row],[VALOR DE LAS ADICIONES CON IVA]]</f>
        <v>37806300</v>
      </c>
      <c r="S167" s="48">
        <f>+Tabla1513[[#This Row],[FECHA TERMINACIÓN INICIAL CONTRATO]]-Tabla1513[[#This Row],[FECHA INICIO CONTRATO]]</f>
        <v>348</v>
      </c>
      <c r="T167" s="24" t="s">
        <v>318</v>
      </c>
      <c r="U167" s="4"/>
      <c r="V167" s="56" t="s">
        <v>318</v>
      </c>
      <c r="W167" s="70">
        <v>45674</v>
      </c>
      <c r="X167" s="70">
        <v>46022</v>
      </c>
      <c r="Y167" s="70">
        <v>46022</v>
      </c>
      <c r="Z167" s="72" t="s">
        <v>319</v>
      </c>
      <c r="AA167" s="60"/>
      <c r="AB167" s="131"/>
      <c r="AC167" s="56" t="s">
        <v>1115</v>
      </c>
      <c r="AD167" s="34"/>
      <c r="AE167" s="34"/>
      <c r="AF167" s="35"/>
      <c r="AG167" s="36" t="s">
        <v>1332</v>
      </c>
      <c r="AH167" s="63">
        <v>2025</v>
      </c>
    </row>
    <row r="168" spans="1:34" s="30" customFormat="1" ht="29" x14ac:dyDescent="0.35">
      <c r="A168" s="55" t="s">
        <v>330</v>
      </c>
      <c r="B168" s="2" t="s">
        <v>11</v>
      </c>
      <c r="C168" s="30" t="s">
        <v>12</v>
      </c>
      <c r="D168" s="2" t="s">
        <v>313</v>
      </c>
      <c r="E168" s="96" t="s">
        <v>1116</v>
      </c>
      <c r="F168" s="70">
        <v>45680</v>
      </c>
      <c r="G168" s="30" t="s">
        <v>150</v>
      </c>
      <c r="H168" s="94" t="s">
        <v>1117</v>
      </c>
      <c r="I168" s="111">
        <v>939399553.00999999</v>
      </c>
      <c r="J168" s="101">
        <v>0</v>
      </c>
      <c r="K168" s="47">
        <v>939399553</v>
      </c>
      <c r="L168" s="77" t="s">
        <v>84</v>
      </c>
      <c r="M168" s="54">
        <v>860066942</v>
      </c>
      <c r="N168" s="30" t="s">
        <v>117</v>
      </c>
      <c r="O168" s="2" t="s">
        <v>465</v>
      </c>
      <c r="P168" s="73" t="s">
        <v>318</v>
      </c>
      <c r="Q168" s="3"/>
      <c r="R168" s="32">
        <f>+Tabla1513[[#This Row],[VALOR INICIAL DEL CONTRATO CON IVA]]+Tabla1513[[#This Row],[VALOR DE LAS ADICIONES CON IVA]]</f>
        <v>939399553</v>
      </c>
      <c r="S168" s="48">
        <f>+Tabla1513[[#This Row],[FECHA TERMINACIÓN INICIAL CONTRATO]]-Tabla1513[[#This Row],[FECHA INICIO CONTRATO]]</f>
        <v>1071</v>
      </c>
      <c r="T168" s="24" t="s">
        <v>318</v>
      </c>
      <c r="U168" s="4"/>
      <c r="V168" s="56" t="s">
        <v>318</v>
      </c>
      <c r="W168" s="70">
        <v>45681</v>
      </c>
      <c r="X168" s="70">
        <v>46752</v>
      </c>
      <c r="Y168" s="70">
        <v>46752</v>
      </c>
      <c r="Z168" s="72" t="s">
        <v>319</v>
      </c>
      <c r="AA168" s="60"/>
      <c r="AB168" s="131"/>
      <c r="AC168" s="56" t="s">
        <v>434</v>
      </c>
      <c r="AD168" s="34"/>
      <c r="AE168" s="34"/>
      <c r="AF168" s="35"/>
      <c r="AG168" s="36" t="s">
        <v>1333</v>
      </c>
      <c r="AH168" s="63">
        <v>2025</v>
      </c>
    </row>
    <row r="169" spans="1:34" s="30" customFormat="1" ht="29" x14ac:dyDescent="0.35">
      <c r="A169" s="55" t="s">
        <v>330</v>
      </c>
      <c r="B169" s="2" t="s">
        <v>410</v>
      </c>
      <c r="C169" s="30" t="s">
        <v>74</v>
      </c>
      <c r="D169" s="2" t="s">
        <v>313</v>
      </c>
      <c r="E169" s="96" t="s">
        <v>1131</v>
      </c>
      <c r="F169" s="70">
        <v>45681</v>
      </c>
      <c r="G169" s="30" t="s">
        <v>150</v>
      </c>
      <c r="H169" s="94" t="s">
        <v>1132</v>
      </c>
      <c r="I169" s="111">
        <v>25000000</v>
      </c>
      <c r="J169" s="101">
        <v>4750000</v>
      </c>
      <c r="K169" s="47">
        <v>29750000</v>
      </c>
      <c r="L169" s="77" t="s">
        <v>84</v>
      </c>
      <c r="M169" s="54">
        <v>900115892</v>
      </c>
      <c r="N169" s="30" t="s">
        <v>97</v>
      </c>
      <c r="O169" s="2" t="s">
        <v>1133</v>
      </c>
      <c r="P169" s="73" t="s">
        <v>318</v>
      </c>
      <c r="Q169" s="3"/>
      <c r="R169" s="32">
        <f>+Tabla1513[[#This Row],[VALOR INICIAL DEL CONTRATO CON IVA]]+Tabla1513[[#This Row],[VALOR DE LAS ADICIONES CON IVA]]</f>
        <v>29750000</v>
      </c>
      <c r="S169" s="48">
        <f>+Tabla1513[[#This Row],[FECHA TERMINACIÓN INICIAL CONTRATO]]-Tabla1513[[#This Row],[FECHA INICIO CONTRATO]]</f>
        <v>328</v>
      </c>
      <c r="T169" s="24" t="s">
        <v>318</v>
      </c>
      <c r="U169" s="4"/>
      <c r="V169" s="56" t="s">
        <v>318</v>
      </c>
      <c r="W169" s="70">
        <v>45694</v>
      </c>
      <c r="X169" s="70">
        <v>46022</v>
      </c>
      <c r="Y169" s="70">
        <v>46022</v>
      </c>
      <c r="Z169" s="72" t="s">
        <v>319</v>
      </c>
      <c r="AA169" s="60"/>
      <c r="AB169" s="131"/>
      <c r="AC169" s="56" t="s">
        <v>1134</v>
      </c>
      <c r="AD169" s="34"/>
      <c r="AE169" s="34"/>
      <c r="AF169" s="35"/>
      <c r="AG169" s="36" t="s">
        <v>1334</v>
      </c>
      <c r="AH169" s="63">
        <v>2025</v>
      </c>
    </row>
    <row r="170" spans="1:34" s="30" customFormat="1" ht="87" x14ac:dyDescent="0.35">
      <c r="A170" s="55" t="s">
        <v>330</v>
      </c>
      <c r="B170" s="2" t="s">
        <v>31</v>
      </c>
      <c r="C170" s="30" t="s">
        <v>912</v>
      </c>
      <c r="D170" s="2" t="s">
        <v>412</v>
      </c>
      <c r="E170" s="96" t="s">
        <v>1118</v>
      </c>
      <c r="F170" s="70">
        <v>45681</v>
      </c>
      <c r="G170" s="30" t="s">
        <v>416</v>
      </c>
      <c r="H170" s="94" t="s">
        <v>1119</v>
      </c>
      <c r="I170" s="111">
        <v>2213509360</v>
      </c>
      <c r="J170" s="101">
        <v>420566778</v>
      </c>
      <c r="K170" s="47">
        <v>2634076138</v>
      </c>
      <c r="L170" s="77" t="s">
        <v>84</v>
      </c>
      <c r="M170" s="54">
        <v>901903339</v>
      </c>
      <c r="N170" s="30" t="s">
        <v>111</v>
      </c>
      <c r="O170" s="2" t="s">
        <v>1120</v>
      </c>
      <c r="P170" s="73" t="s">
        <v>318</v>
      </c>
      <c r="Q170" s="3"/>
      <c r="R170" s="32">
        <f>+Tabla1513[[#This Row],[VALOR INICIAL DEL CONTRATO CON IVA]]+Tabla1513[[#This Row],[VALOR DE LAS ADICIONES CON IVA]]</f>
        <v>2634076138</v>
      </c>
      <c r="S170" s="48">
        <f>+Tabla1513[[#This Row],[FECHA TERMINACIÓN INICIAL CONTRATO]]-Tabla1513[[#This Row],[FECHA INICIO CONTRATO]]</f>
        <v>1469</v>
      </c>
      <c r="T170" s="24" t="s">
        <v>318</v>
      </c>
      <c r="U170" s="4"/>
      <c r="V170" s="56" t="s">
        <v>318</v>
      </c>
      <c r="W170" s="70">
        <v>45681</v>
      </c>
      <c r="X170" s="70">
        <v>47150</v>
      </c>
      <c r="Y170" s="70">
        <v>47150</v>
      </c>
      <c r="Z170" s="72" t="s">
        <v>319</v>
      </c>
      <c r="AA170" s="60"/>
      <c r="AB170" s="131"/>
      <c r="AC170" s="56" t="s">
        <v>1255</v>
      </c>
      <c r="AD170" s="34"/>
      <c r="AE170" s="34"/>
      <c r="AF170" s="35"/>
      <c r="AG170" s="36" t="s">
        <v>1335</v>
      </c>
      <c r="AH170" s="63">
        <v>2025</v>
      </c>
    </row>
    <row r="171" spans="1:34" s="30" customFormat="1" ht="72.5" x14ac:dyDescent="0.35">
      <c r="A171" s="55" t="s">
        <v>330</v>
      </c>
      <c r="B171" s="2" t="s">
        <v>422</v>
      </c>
      <c r="C171" s="30" t="s">
        <v>1747</v>
      </c>
      <c r="D171" s="2" t="s">
        <v>412</v>
      </c>
      <c r="E171" s="96" t="s">
        <v>1121</v>
      </c>
      <c r="F171" s="70">
        <v>45684</v>
      </c>
      <c r="G171" s="30" t="s">
        <v>119</v>
      </c>
      <c r="H171" s="94" t="s">
        <v>1123</v>
      </c>
      <c r="I171" s="111">
        <v>947700000</v>
      </c>
      <c r="J171" s="101">
        <v>222300000</v>
      </c>
      <c r="K171" s="47">
        <v>1170000000</v>
      </c>
      <c r="L171" s="77" t="s">
        <v>84</v>
      </c>
      <c r="M171" s="54">
        <v>900500876</v>
      </c>
      <c r="N171" s="30" t="s">
        <v>111</v>
      </c>
      <c r="O171" s="2" t="s">
        <v>1124</v>
      </c>
      <c r="P171" s="73" t="s">
        <v>318</v>
      </c>
      <c r="Q171" s="3"/>
      <c r="R171" s="32">
        <f>+Tabla1513[[#This Row],[VALOR INICIAL DEL CONTRATO CON IVA]]+Tabla1513[[#This Row],[VALOR DE LAS ADICIONES CON IVA]]</f>
        <v>1170000000</v>
      </c>
      <c r="S171" s="48">
        <f>+Tabla1513[[#This Row],[FECHA TERMINACIÓN INICIAL CONTRATO]]-Tabla1513[[#This Row],[FECHA INICIO CONTRATO]]</f>
        <v>303</v>
      </c>
      <c r="T171" s="24" t="s">
        <v>318</v>
      </c>
      <c r="U171" s="4"/>
      <c r="V171" s="56" t="s">
        <v>318</v>
      </c>
      <c r="W171" s="70">
        <v>45698</v>
      </c>
      <c r="X171" s="70">
        <v>46001</v>
      </c>
      <c r="Y171" s="70">
        <v>46001</v>
      </c>
      <c r="Z171" s="72" t="s">
        <v>319</v>
      </c>
      <c r="AA171" s="60"/>
      <c r="AB171" s="131"/>
      <c r="AC171" s="56" t="s">
        <v>415</v>
      </c>
      <c r="AD171" s="34"/>
      <c r="AE171" s="34"/>
      <c r="AF171" s="35"/>
      <c r="AG171" s="36" t="s">
        <v>1336</v>
      </c>
      <c r="AH171" s="63">
        <v>2025</v>
      </c>
    </row>
    <row r="172" spans="1:34" s="30" customFormat="1" ht="29" x14ac:dyDescent="0.35">
      <c r="A172" s="55" t="s">
        <v>330</v>
      </c>
      <c r="B172" s="2" t="s">
        <v>410</v>
      </c>
      <c r="C172" s="30" t="s">
        <v>77</v>
      </c>
      <c r="D172" s="2" t="s">
        <v>313</v>
      </c>
      <c r="E172" s="96" t="s">
        <v>1135</v>
      </c>
      <c r="F172" s="70">
        <v>45685</v>
      </c>
      <c r="G172" s="30" t="s">
        <v>150</v>
      </c>
      <c r="H172" s="94" t="s">
        <v>1137</v>
      </c>
      <c r="I172" s="111">
        <v>25000000</v>
      </c>
      <c r="J172" s="101">
        <v>4750000</v>
      </c>
      <c r="K172" s="47">
        <v>29750000</v>
      </c>
      <c r="L172" s="77" t="s">
        <v>84</v>
      </c>
      <c r="M172" s="54">
        <v>900083625</v>
      </c>
      <c r="N172" s="30" t="s">
        <v>103</v>
      </c>
      <c r="O172" s="2" t="s">
        <v>524</v>
      </c>
      <c r="P172" s="73" t="s">
        <v>318</v>
      </c>
      <c r="Q172" s="3"/>
      <c r="R172" s="32">
        <f>+Tabla1513[[#This Row],[VALOR INICIAL DEL CONTRATO CON IVA]]+Tabla1513[[#This Row],[VALOR DE LAS ADICIONES CON IVA]]</f>
        <v>29750000</v>
      </c>
      <c r="S172" s="48">
        <f>+Tabla1513[[#This Row],[FECHA TERMINACIÓN INICIAL CONTRATO]]-Tabla1513[[#This Row],[FECHA INICIO CONTRATO]]</f>
        <v>337</v>
      </c>
      <c r="T172" s="24" t="s">
        <v>318</v>
      </c>
      <c r="U172" s="4"/>
      <c r="V172" s="56" t="s">
        <v>318</v>
      </c>
      <c r="W172" s="70">
        <v>45685</v>
      </c>
      <c r="X172" s="70">
        <v>46022</v>
      </c>
      <c r="Y172" s="70">
        <v>46022</v>
      </c>
      <c r="Z172" s="72" t="s">
        <v>319</v>
      </c>
      <c r="AA172" s="60"/>
      <c r="AB172" s="131"/>
      <c r="AC172" s="56" t="s">
        <v>1052</v>
      </c>
      <c r="AD172" s="34"/>
      <c r="AE172" s="34"/>
      <c r="AF172" s="35"/>
      <c r="AG172" s="36" t="s">
        <v>1337</v>
      </c>
      <c r="AH172" s="63">
        <v>2025</v>
      </c>
    </row>
    <row r="173" spans="1:34" s="30" customFormat="1" ht="43.5" x14ac:dyDescent="0.35">
      <c r="A173" s="55" t="s">
        <v>330</v>
      </c>
      <c r="B173" s="2" t="s">
        <v>11</v>
      </c>
      <c r="C173" s="30" t="s">
        <v>20</v>
      </c>
      <c r="D173" s="2" t="s">
        <v>313</v>
      </c>
      <c r="E173" s="96" t="s">
        <v>1136</v>
      </c>
      <c r="F173" s="70">
        <v>45686</v>
      </c>
      <c r="G173" s="30" t="s">
        <v>150</v>
      </c>
      <c r="H173" s="94" t="s">
        <v>1138</v>
      </c>
      <c r="I173" s="111">
        <v>20000000</v>
      </c>
      <c r="J173" s="101">
        <v>0</v>
      </c>
      <c r="K173" s="47">
        <v>20000000</v>
      </c>
      <c r="L173" s="77" t="s">
        <v>84</v>
      </c>
      <c r="M173" s="54">
        <v>860078643</v>
      </c>
      <c r="N173" s="30" t="s">
        <v>91</v>
      </c>
      <c r="O173" s="2" t="s">
        <v>725</v>
      </c>
      <c r="P173" s="73" t="s">
        <v>317</v>
      </c>
      <c r="Q173" s="3">
        <v>20000000</v>
      </c>
      <c r="R173" s="32">
        <f>+Tabla1513[[#This Row],[VALOR INICIAL DEL CONTRATO CON IVA]]+Tabla1513[[#This Row],[VALOR DE LAS ADICIONES CON IVA]]</f>
        <v>40000000</v>
      </c>
      <c r="S173" s="48">
        <f>+Tabla1513[[#This Row],[FECHA TERMINACIÓN INICIAL CONTRATO]]-Tabla1513[[#This Row],[FECHA INICIO CONTRATO]]</f>
        <v>90</v>
      </c>
      <c r="T173" s="24" t="s">
        <v>317</v>
      </c>
      <c r="U173" s="4">
        <f>+Tabla1513[[#This Row],[FECHA FINAL DEL CONTRATO]]-Tabla1513[[#This Row],[FECHA TERMINACIÓN INICIAL CONTRATO]]</f>
        <v>91</v>
      </c>
      <c r="V173" s="56" t="s">
        <v>318</v>
      </c>
      <c r="W173" s="70">
        <v>45686</v>
      </c>
      <c r="X173" s="70">
        <v>45776</v>
      </c>
      <c r="Y173" s="70">
        <v>45867</v>
      </c>
      <c r="Z173" s="72" t="s">
        <v>411</v>
      </c>
      <c r="AA173" s="60">
        <v>45922</v>
      </c>
      <c r="AB173" s="60" t="s">
        <v>406</v>
      </c>
      <c r="AC173" s="56" t="s">
        <v>1139</v>
      </c>
      <c r="AD173" s="34">
        <v>1</v>
      </c>
      <c r="AE173" s="89">
        <f>+Tabla1513[[#This Row],[VALOR PAGADO (EN PESOS)]]/Tabla1513[[#This Row],[VALOR TOTAL DEL CONTRATO CON IVA (VALOR INICIAL + ADICIONES) ]]</f>
        <v>0.92945750000000005</v>
      </c>
      <c r="AF173" s="35">
        <v>37178300</v>
      </c>
      <c r="AG173" s="36" t="s">
        <v>1453</v>
      </c>
      <c r="AH173" s="63">
        <v>2025</v>
      </c>
    </row>
    <row r="174" spans="1:34" s="30" customFormat="1" ht="101.5" x14ac:dyDescent="0.35">
      <c r="A174" s="55" t="s">
        <v>330</v>
      </c>
      <c r="B174" s="2" t="s">
        <v>473</v>
      </c>
      <c r="C174" s="30" t="s">
        <v>1143</v>
      </c>
      <c r="D174" s="2" t="s">
        <v>313</v>
      </c>
      <c r="E174" s="96" t="s">
        <v>1140</v>
      </c>
      <c r="F174" s="70">
        <v>45687</v>
      </c>
      <c r="G174" s="30" t="s">
        <v>150</v>
      </c>
      <c r="H174" s="94" t="s">
        <v>1142</v>
      </c>
      <c r="I174" s="111">
        <v>370845926</v>
      </c>
      <c r="J174" s="101">
        <v>22676739</v>
      </c>
      <c r="K174" s="47">
        <v>393522665</v>
      </c>
      <c r="L174" s="77" t="s">
        <v>84</v>
      </c>
      <c r="M174" s="54">
        <v>830141011</v>
      </c>
      <c r="N174" s="30" t="s">
        <v>117</v>
      </c>
      <c r="O174" s="2" t="s">
        <v>1141</v>
      </c>
      <c r="P174" s="73" t="s">
        <v>318</v>
      </c>
      <c r="Q174" s="3"/>
      <c r="R174" s="32">
        <f>+Tabla1513[[#This Row],[VALOR INICIAL DEL CONTRATO CON IVA]]+Tabla1513[[#This Row],[VALOR DE LAS ADICIONES CON IVA]]</f>
        <v>393522665</v>
      </c>
      <c r="S174" s="48">
        <f>+Tabla1513[[#This Row],[FECHA TERMINACIÓN INICIAL CONTRATO]]-Tabla1513[[#This Row],[FECHA INICIO CONTRATO]]</f>
        <v>364</v>
      </c>
      <c r="T174" s="24" t="s">
        <v>318</v>
      </c>
      <c r="U174" s="4"/>
      <c r="V174" s="56" t="s">
        <v>318</v>
      </c>
      <c r="W174" s="70">
        <v>45689</v>
      </c>
      <c r="X174" s="70">
        <v>46053</v>
      </c>
      <c r="Y174" s="70">
        <v>46053</v>
      </c>
      <c r="Z174" s="72" t="s">
        <v>319</v>
      </c>
      <c r="AA174" s="60"/>
      <c r="AB174" s="131"/>
      <c r="AC174" s="56" t="s">
        <v>1144</v>
      </c>
      <c r="AD174" s="34"/>
      <c r="AE174" s="98"/>
      <c r="AF174" s="35"/>
      <c r="AG174" s="36" t="s">
        <v>1338</v>
      </c>
      <c r="AH174" s="63">
        <v>2025</v>
      </c>
    </row>
    <row r="175" spans="1:34" s="30" customFormat="1" ht="43.5" x14ac:dyDescent="0.35">
      <c r="A175" s="55" t="s">
        <v>330</v>
      </c>
      <c r="B175" s="2" t="s">
        <v>410</v>
      </c>
      <c r="C175" s="30" t="s">
        <v>77</v>
      </c>
      <c r="D175" s="2" t="s">
        <v>313</v>
      </c>
      <c r="E175" s="96" t="s">
        <v>1122</v>
      </c>
      <c r="F175" s="70">
        <v>45687</v>
      </c>
      <c r="G175" s="30" t="s">
        <v>150</v>
      </c>
      <c r="H175" s="94" t="s">
        <v>1125</v>
      </c>
      <c r="I175" s="111">
        <v>30000000</v>
      </c>
      <c r="J175" s="101">
        <v>5700000</v>
      </c>
      <c r="K175" s="47">
        <v>35700000</v>
      </c>
      <c r="L175" s="77" t="s">
        <v>84</v>
      </c>
      <c r="M175" s="54">
        <v>890111390</v>
      </c>
      <c r="N175" s="30" t="s">
        <v>103</v>
      </c>
      <c r="O175" s="2" t="s">
        <v>1126</v>
      </c>
      <c r="P175" s="73" t="s">
        <v>318</v>
      </c>
      <c r="Q175" s="3"/>
      <c r="R175" s="32">
        <f>+Tabla1513[[#This Row],[VALOR INICIAL DEL CONTRATO CON IVA]]+Tabla1513[[#This Row],[VALOR DE LAS ADICIONES CON IVA]]</f>
        <v>35700000</v>
      </c>
      <c r="S175" s="48">
        <f>+Tabla1513[[#This Row],[FECHA TERMINACIÓN INICIAL CONTRATO]]-Tabla1513[[#This Row],[FECHA INICIO CONTRATO]]</f>
        <v>335</v>
      </c>
      <c r="T175" s="24" t="s">
        <v>318</v>
      </c>
      <c r="U175" s="4"/>
      <c r="V175" s="56" t="s">
        <v>318</v>
      </c>
      <c r="W175" s="70">
        <v>45687</v>
      </c>
      <c r="X175" s="70">
        <v>46022</v>
      </c>
      <c r="Y175" s="70">
        <v>46022</v>
      </c>
      <c r="Z175" s="72" t="s">
        <v>319</v>
      </c>
      <c r="AA175" s="60"/>
      <c r="AB175" s="131"/>
      <c r="AC175" s="56" t="s">
        <v>734</v>
      </c>
      <c r="AD175" s="34"/>
      <c r="AE175" s="34"/>
      <c r="AF175" s="35"/>
      <c r="AG175" s="36" t="s">
        <v>1339</v>
      </c>
      <c r="AH175" s="63">
        <v>2025</v>
      </c>
    </row>
    <row r="176" spans="1:34" s="30" customFormat="1" ht="29" x14ac:dyDescent="0.35">
      <c r="A176" s="55" t="s">
        <v>330</v>
      </c>
      <c r="B176" s="2" t="s">
        <v>473</v>
      </c>
      <c r="C176" s="30" t="s">
        <v>62</v>
      </c>
      <c r="D176" s="2" t="s">
        <v>313</v>
      </c>
      <c r="E176" s="96" t="s">
        <v>1145</v>
      </c>
      <c r="F176" s="70">
        <v>45687</v>
      </c>
      <c r="G176" s="30" t="s">
        <v>150</v>
      </c>
      <c r="H176" s="94" t="s">
        <v>1148</v>
      </c>
      <c r="I176" s="111">
        <v>32184867</v>
      </c>
      <c r="J176" s="101">
        <v>6115125</v>
      </c>
      <c r="K176" s="47">
        <v>38299992</v>
      </c>
      <c r="L176" s="77" t="s">
        <v>84</v>
      </c>
      <c r="M176" s="54">
        <v>901011256</v>
      </c>
      <c r="N176" s="30" t="s">
        <v>108</v>
      </c>
      <c r="O176" s="2" t="s">
        <v>840</v>
      </c>
      <c r="P176" s="73" t="s">
        <v>318</v>
      </c>
      <c r="Q176" s="3"/>
      <c r="R176" s="32">
        <f>+Tabla1513[[#This Row],[VALOR INICIAL DEL CONTRATO CON IVA]]+Tabla1513[[#This Row],[VALOR DE LAS ADICIONES CON IVA]]</f>
        <v>38299992</v>
      </c>
      <c r="S176" s="48">
        <f>+Tabla1513[[#This Row],[FECHA TERMINACIÓN INICIAL CONTRATO]]-Tabla1513[[#This Row],[FECHA INICIO CONTRATO]]</f>
        <v>330</v>
      </c>
      <c r="T176" s="24" t="s">
        <v>318</v>
      </c>
      <c r="U176" s="4"/>
      <c r="V176" s="56" t="s">
        <v>318</v>
      </c>
      <c r="W176" s="70">
        <v>45692</v>
      </c>
      <c r="X176" s="70">
        <v>46022</v>
      </c>
      <c r="Y176" s="70">
        <v>46022</v>
      </c>
      <c r="Z176" s="72" t="s">
        <v>319</v>
      </c>
      <c r="AA176" s="60"/>
      <c r="AB176" s="131"/>
      <c r="AC176" s="56" t="s">
        <v>415</v>
      </c>
      <c r="AD176" s="34"/>
      <c r="AE176" s="34"/>
      <c r="AF176" s="35"/>
      <c r="AG176" s="36" t="s">
        <v>1340</v>
      </c>
      <c r="AH176" s="63">
        <v>2025</v>
      </c>
    </row>
    <row r="177" spans="1:34" s="30" customFormat="1" ht="43.5" x14ac:dyDescent="0.35">
      <c r="A177" s="55" t="s">
        <v>330</v>
      </c>
      <c r="B177" s="2" t="s">
        <v>11</v>
      </c>
      <c r="C177" s="30" t="s">
        <v>19</v>
      </c>
      <c r="D177" s="2" t="s">
        <v>313</v>
      </c>
      <c r="E177" s="96" t="s">
        <v>1146</v>
      </c>
      <c r="F177" s="70">
        <v>45687</v>
      </c>
      <c r="G177" s="30" t="s">
        <v>142</v>
      </c>
      <c r="H177" s="94" t="s">
        <v>1149</v>
      </c>
      <c r="I177" s="81">
        <v>53308758.009999998</v>
      </c>
      <c r="J177" s="32">
        <v>10128663</v>
      </c>
      <c r="K177" s="47">
        <v>63437421</v>
      </c>
      <c r="L177" s="77" t="s">
        <v>84</v>
      </c>
      <c r="M177" s="54">
        <v>900129621</v>
      </c>
      <c r="N177" s="30" t="s">
        <v>108</v>
      </c>
      <c r="O177" s="2" t="s">
        <v>1147</v>
      </c>
      <c r="P177" s="73" t="s">
        <v>318</v>
      </c>
      <c r="Q177" s="3"/>
      <c r="R177" s="32">
        <f>+Tabla1513[[#This Row],[VALOR INICIAL DEL CONTRATO CON IVA]]+Tabla1513[[#This Row],[VALOR DE LAS ADICIONES CON IVA]]</f>
        <v>63437421</v>
      </c>
      <c r="S177" s="48">
        <f>+Tabla1513[[#This Row],[FECHA TERMINACIÓN INICIAL CONTRATO]]-Tabla1513[[#This Row],[FECHA INICIO CONTRATO]]</f>
        <v>1033</v>
      </c>
      <c r="T177" s="24" t="s">
        <v>318</v>
      </c>
      <c r="U177" s="4"/>
      <c r="V177" s="56" t="s">
        <v>318</v>
      </c>
      <c r="W177" s="70">
        <v>45719</v>
      </c>
      <c r="X177" s="70">
        <v>46752</v>
      </c>
      <c r="Y177" s="70">
        <v>46752</v>
      </c>
      <c r="Z177" s="72" t="s">
        <v>319</v>
      </c>
      <c r="AA177" s="60"/>
      <c r="AB177" s="131"/>
      <c r="AC177" s="56" t="s">
        <v>964</v>
      </c>
      <c r="AD177" s="34"/>
      <c r="AE177" s="34"/>
      <c r="AF177" s="35"/>
      <c r="AG177" s="36" t="s">
        <v>1341</v>
      </c>
      <c r="AH177" s="63">
        <v>2025</v>
      </c>
    </row>
    <row r="178" spans="1:34" s="30" customFormat="1" ht="29" x14ac:dyDescent="0.35">
      <c r="A178" s="55" t="s">
        <v>330</v>
      </c>
      <c r="B178" s="2" t="s">
        <v>11</v>
      </c>
      <c r="C178" s="30" t="s">
        <v>476</v>
      </c>
      <c r="D178" s="2" t="s">
        <v>313</v>
      </c>
      <c r="E178" s="96" t="s">
        <v>1150</v>
      </c>
      <c r="F178" s="70">
        <v>45687</v>
      </c>
      <c r="G178" s="30" t="s">
        <v>150</v>
      </c>
      <c r="H178" s="94" t="s">
        <v>1151</v>
      </c>
      <c r="I178" s="111">
        <v>64460000</v>
      </c>
      <c r="J178" s="101">
        <v>0</v>
      </c>
      <c r="K178" s="47">
        <v>64460000</v>
      </c>
      <c r="L178" s="77" t="s">
        <v>96</v>
      </c>
      <c r="M178" s="54">
        <v>1033688031</v>
      </c>
      <c r="O178" s="2" t="s">
        <v>685</v>
      </c>
      <c r="P178" s="73" t="s">
        <v>318</v>
      </c>
      <c r="Q178" s="3"/>
      <c r="R178" s="32">
        <f>+Tabla1513[[#This Row],[VALOR INICIAL DEL CONTRATO CON IVA]]+Tabla1513[[#This Row],[VALOR DE LAS ADICIONES CON IVA]]</f>
        <v>64460000</v>
      </c>
      <c r="S178" s="48">
        <f>+Tabla1513[[#This Row],[FECHA TERMINACIÓN INICIAL CONTRATO]]-Tabla1513[[#This Row],[FECHA INICIO CONTRATO]]</f>
        <v>333</v>
      </c>
      <c r="T178" s="24" t="s">
        <v>318</v>
      </c>
      <c r="U178" s="4"/>
      <c r="V178" s="56" t="s">
        <v>318</v>
      </c>
      <c r="W178" s="70">
        <v>45689</v>
      </c>
      <c r="X178" s="70">
        <v>46022</v>
      </c>
      <c r="Y178" s="70">
        <v>46022</v>
      </c>
      <c r="Z178" s="72" t="s">
        <v>319</v>
      </c>
      <c r="AA178" s="60"/>
      <c r="AB178" s="131"/>
      <c r="AC178" s="56" t="s">
        <v>415</v>
      </c>
      <c r="AD178" s="34"/>
      <c r="AE178" s="34"/>
      <c r="AF178" s="35"/>
      <c r="AG178" s="36" t="s">
        <v>1342</v>
      </c>
      <c r="AH178" s="63">
        <v>2025</v>
      </c>
    </row>
    <row r="179" spans="1:34" s="30" customFormat="1" ht="43.5" x14ac:dyDescent="0.35">
      <c r="A179" s="55" t="s">
        <v>330</v>
      </c>
      <c r="B179" s="2" t="s">
        <v>11</v>
      </c>
      <c r="C179" s="30" t="s">
        <v>19</v>
      </c>
      <c r="D179" s="2" t="s">
        <v>313</v>
      </c>
      <c r="E179" s="96" t="s">
        <v>1152</v>
      </c>
      <c r="F179" s="70">
        <v>45714</v>
      </c>
      <c r="G179" s="30" t="s">
        <v>142</v>
      </c>
      <c r="H179" s="94" t="s">
        <v>1154</v>
      </c>
      <c r="I179" s="81">
        <v>23913400.010000002</v>
      </c>
      <c r="J179" s="32">
        <v>4543546</v>
      </c>
      <c r="K179" s="47">
        <v>28456946</v>
      </c>
      <c r="L179" s="77" t="s">
        <v>84</v>
      </c>
      <c r="M179" s="54">
        <v>800043857</v>
      </c>
      <c r="N179" s="30" t="s">
        <v>91</v>
      </c>
      <c r="O179" s="2" t="s">
        <v>781</v>
      </c>
      <c r="P179" s="73" t="s">
        <v>318</v>
      </c>
      <c r="Q179" s="3"/>
      <c r="R179" s="32">
        <f>+Tabla1513[[#This Row],[VALOR INICIAL DEL CONTRATO CON IVA]]+Tabla1513[[#This Row],[VALOR DE LAS ADICIONES CON IVA]]</f>
        <v>28456946</v>
      </c>
      <c r="S179" s="48">
        <f>+Tabla1513[[#This Row],[FECHA TERMINACIÓN INICIAL CONTRATO]]-Tabla1513[[#This Row],[FECHA INICIO CONTRATO]]</f>
        <v>650</v>
      </c>
      <c r="T179" s="24" t="s">
        <v>318</v>
      </c>
      <c r="U179" s="4"/>
      <c r="V179" s="56" t="s">
        <v>318</v>
      </c>
      <c r="W179" s="70">
        <v>45737</v>
      </c>
      <c r="X179" s="70">
        <v>46387</v>
      </c>
      <c r="Y179" s="70">
        <v>46387</v>
      </c>
      <c r="Z179" s="72" t="s">
        <v>319</v>
      </c>
      <c r="AA179" s="60"/>
      <c r="AB179" s="131"/>
      <c r="AC179" s="56" t="s">
        <v>964</v>
      </c>
      <c r="AD179" s="34"/>
      <c r="AE179" s="34"/>
      <c r="AF179" s="35"/>
      <c r="AG179" s="36" t="s">
        <v>1530</v>
      </c>
      <c r="AH179" s="63">
        <v>2025</v>
      </c>
    </row>
    <row r="180" spans="1:34" s="30" customFormat="1" ht="29" x14ac:dyDescent="0.35">
      <c r="A180" s="55" t="s">
        <v>330</v>
      </c>
      <c r="B180" s="2" t="s">
        <v>410</v>
      </c>
      <c r="C180" s="30" t="s">
        <v>74</v>
      </c>
      <c r="D180" s="2" t="s">
        <v>313</v>
      </c>
      <c r="E180" s="96" t="s">
        <v>1153</v>
      </c>
      <c r="F180" s="70">
        <v>45694</v>
      </c>
      <c r="G180" s="30" t="s">
        <v>150</v>
      </c>
      <c r="H180" s="94" t="s">
        <v>1155</v>
      </c>
      <c r="I180" s="111">
        <v>40000000</v>
      </c>
      <c r="J180" s="101">
        <v>7600000</v>
      </c>
      <c r="K180" s="47">
        <v>47600000</v>
      </c>
      <c r="L180" s="77" t="s">
        <v>84</v>
      </c>
      <c r="M180" s="54">
        <v>830038753</v>
      </c>
      <c r="N180" s="30" t="s">
        <v>103</v>
      </c>
      <c r="O180" s="2" t="s">
        <v>759</v>
      </c>
      <c r="P180" s="73" t="s">
        <v>318</v>
      </c>
      <c r="Q180" s="3"/>
      <c r="R180" s="32">
        <f>+Tabla1513[[#This Row],[VALOR INICIAL DEL CONTRATO CON IVA]]+Tabla1513[[#This Row],[VALOR DE LAS ADICIONES CON IVA]]</f>
        <v>47600000</v>
      </c>
      <c r="S180" s="48">
        <f>+Tabla1513[[#This Row],[FECHA TERMINACIÓN INICIAL CONTRATO]]-Tabla1513[[#This Row],[FECHA INICIO CONTRATO]]</f>
        <v>324</v>
      </c>
      <c r="T180" s="24" t="s">
        <v>318</v>
      </c>
      <c r="U180" s="4"/>
      <c r="V180" s="56" t="s">
        <v>318</v>
      </c>
      <c r="W180" s="70">
        <v>45698</v>
      </c>
      <c r="X180" s="70">
        <v>46022</v>
      </c>
      <c r="Y180" s="70">
        <v>46022</v>
      </c>
      <c r="Z180" s="72" t="s">
        <v>319</v>
      </c>
      <c r="AA180" s="60"/>
      <c r="AB180" s="131"/>
      <c r="AC180" s="56" t="s">
        <v>1134</v>
      </c>
      <c r="AD180" s="34"/>
      <c r="AE180" s="34"/>
      <c r="AF180" s="35"/>
      <c r="AG180" s="36" t="s">
        <v>1454</v>
      </c>
      <c r="AH180" s="63">
        <v>2025</v>
      </c>
    </row>
    <row r="181" spans="1:34" s="30" customFormat="1" ht="29" x14ac:dyDescent="0.35">
      <c r="A181" s="55" t="s">
        <v>330</v>
      </c>
      <c r="B181" s="2" t="s">
        <v>310</v>
      </c>
      <c r="C181" s="30" t="s">
        <v>24</v>
      </c>
      <c r="D181" s="2" t="s">
        <v>714</v>
      </c>
      <c r="E181" s="96" t="s">
        <v>1239</v>
      </c>
      <c r="F181" s="70">
        <v>45695</v>
      </c>
      <c r="G181" s="30" t="s">
        <v>150</v>
      </c>
      <c r="H181" s="94" t="s">
        <v>1240</v>
      </c>
      <c r="I181" s="111">
        <v>1253782</v>
      </c>
      <c r="J181" s="101">
        <v>238218</v>
      </c>
      <c r="K181" s="47">
        <v>1492000</v>
      </c>
      <c r="L181" s="77" t="s">
        <v>84</v>
      </c>
      <c r="M181" s="54">
        <v>900565863</v>
      </c>
      <c r="N181" s="30" t="s">
        <v>123</v>
      </c>
      <c r="O181" s="2" t="s">
        <v>742</v>
      </c>
      <c r="P181" s="73" t="s">
        <v>318</v>
      </c>
      <c r="Q181" s="3"/>
      <c r="R181" s="32">
        <f>+Tabla1513[[#This Row],[VALOR INICIAL DEL CONTRATO CON IVA]]+Tabla1513[[#This Row],[VALOR DE LAS ADICIONES CON IVA]]</f>
        <v>1492000</v>
      </c>
      <c r="S181" s="48">
        <f>+Tabla1513[[#This Row],[FECHA TERMINACIÓN INICIAL CONTRATO]]-Tabla1513[[#This Row],[FECHA INICIO CONTRATO]]</f>
        <v>365</v>
      </c>
      <c r="T181" s="24" t="s">
        <v>318</v>
      </c>
      <c r="U181" s="4"/>
      <c r="V181" s="56" t="s">
        <v>318</v>
      </c>
      <c r="W181" s="70">
        <v>45702</v>
      </c>
      <c r="X181" s="70">
        <v>46067</v>
      </c>
      <c r="Y181" s="70">
        <v>46067</v>
      </c>
      <c r="Z181" s="72" t="s">
        <v>319</v>
      </c>
      <c r="AA181" s="60"/>
      <c r="AB181" s="131"/>
      <c r="AC181" s="56" t="s">
        <v>535</v>
      </c>
      <c r="AD181" s="34"/>
      <c r="AE181" s="34"/>
      <c r="AF181" s="35"/>
      <c r="AG181" s="36" t="s">
        <v>1531</v>
      </c>
      <c r="AH181" s="63">
        <v>2025</v>
      </c>
    </row>
    <row r="182" spans="1:34" s="30" customFormat="1" ht="43.5" x14ac:dyDescent="0.35">
      <c r="A182" s="55" t="s">
        <v>330</v>
      </c>
      <c r="B182" s="2" t="s">
        <v>11</v>
      </c>
      <c r="C182" s="30" t="s">
        <v>20</v>
      </c>
      <c r="D182" s="2" t="s">
        <v>313</v>
      </c>
      <c r="E182" s="96" t="s">
        <v>1156</v>
      </c>
      <c r="F182" s="70">
        <v>45695</v>
      </c>
      <c r="G182" s="30" t="s">
        <v>150</v>
      </c>
      <c r="H182" s="94" t="s">
        <v>1157</v>
      </c>
      <c r="I182" s="111">
        <v>131000000</v>
      </c>
      <c r="J182" s="101">
        <v>24890000</v>
      </c>
      <c r="K182" s="47">
        <v>155890000</v>
      </c>
      <c r="L182" s="77" t="s">
        <v>84</v>
      </c>
      <c r="M182" s="54">
        <v>830104010</v>
      </c>
      <c r="N182" s="30" t="s">
        <v>97</v>
      </c>
      <c r="O182" s="2" t="s">
        <v>755</v>
      </c>
      <c r="P182" s="73" t="s">
        <v>318</v>
      </c>
      <c r="Q182" s="3"/>
      <c r="R182" s="32">
        <f>+Tabla1513[[#This Row],[VALOR INICIAL DEL CONTRATO CON IVA]]+Tabla1513[[#This Row],[VALOR DE LAS ADICIONES CON IVA]]</f>
        <v>155890000</v>
      </c>
      <c r="S182" s="48">
        <f>+Tabla1513[[#This Row],[FECHA TERMINACIÓN INICIAL CONTRATO]]-Tabla1513[[#This Row],[FECHA INICIO CONTRATO]]</f>
        <v>327</v>
      </c>
      <c r="T182" s="24" t="s">
        <v>318</v>
      </c>
      <c r="U182" s="4"/>
      <c r="V182" s="56" t="s">
        <v>318</v>
      </c>
      <c r="W182" s="70">
        <v>45695</v>
      </c>
      <c r="X182" s="70">
        <v>46022</v>
      </c>
      <c r="Y182" s="70">
        <v>46022</v>
      </c>
      <c r="Z182" s="72" t="s">
        <v>319</v>
      </c>
      <c r="AA182" s="60"/>
      <c r="AB182" s="131"/>
      <c r="AC182" s="56" t="s">
        <v>1115</v>
      </c>
      <c r="AD182" s="34"/>
      <c r="AE182" s="34"/>
      <c r="AF182" s="35"/>
      <c r="AG182" s="36" t="s">
        <v>1343</v>
      </c>
      <c r="AH182" s="63">
        <v>2025</v>
      </c>
    </row>
    <row r="183" spans="1:34" s="30" customFormat="1" ht="29" x14ac:dyDescent="0.35">
      <c r="A183" s="55" t="s">
        <v>330</v>
      </c>
      <c r="B183" s="2" t="s">
        <v>310</v>
      </c>
      <c r="C183" s="30" t="s">
        <v>25</v>
      </c>
      <c r="D183" s="2" t="s">
        <v>313</v>
      </c>
      <c r="E183" s="96" t="s">
        <v>1158</v>
      </c>
      <c r="F183" s="70">
        <v>45701</v>
      </c>
      <c r="G183" s="30" t="s">
        <v>150</v>
      </c>
      <c r="H183" s="94" t="s">
        <v>1159</v>
      </c>
      <c r="I183" s="111">
        <v>26657683</v>
      </c>
      <c r="J183" s="101">
        <v>4442426</v>
      </c>
      <c r="K183" s="47">
        <v>31100109</v>
      </c>
      <c r="L183" s="77" t="s">
        <v>84</v>
      </c>
      <c r="M183" s="54">
        <v>900377109</v>
      </c>
      <c r="N183" s="30" t="s">
        <v>117</v>
      </c>
      <c r="O183" s="2" t="s">
        <v>702</v>
      </c>
      <c r="P183" s="73" t="s">
        <v>318</v>
      </c>
      <c r="Q183" s="3"/>
      <c r="R183" s="32">
        <f>+Tabla1513[[#This Row],[VALOR INICIAL DEL CONTRATO CON IVA]]+Tabla1513[[#This Row],[VALOR DE LAS ADICIONES CON IVA]]</f>
        <v>31100109</v>
      </c>
      <c r="S183" s="48">
        <f>+Tabla1513[[#This Row],[FECHA TERMINACIÓN INICIAL CONTRATO]]-Tabla1513[[#This Row],[FECHA INICIO CONTRATO]]</f>
        <v>334</v>
      </c>
      <c r="T183" s="24" t="s">
        <v>318</v>
      </c>
      <c r="U183" s="4"/>
      <c r="V183" s="56" t="s">
        <v>318</v>
      </c>
      <c r="W183" s="70">
        <v>45701</v>
      </c>
      <c r="X183" s="70">
        <v>46035</v>
      </c>
      <c r="Y183" s="70">
        <v>46035</v>
      </c>
      <c r="Z183" s="72" t="s">
        <v>319</v>
      </c>
      <c r="AA183" s="60"/>
      <c r="AB183" s="131"/>
      <c r="AC183" s="56" t="s">
        <v>1160</v>
      </c>
      <c r="AD183" s="34"/>
      <c r="AE183" s="34"/>
      <c r="AF183" s="35"/>
      <c r="AG183" s="36" t="s">
        <v>1344</v>
      </c>
      <c r="AH183" s="63">
        <v>2025</v>
      </c>
    </row>
    <row r="184" spans="1:34" s="30" customFormat="1" ht="43.5" x14ac:dyDescent="0.35">
      <c r="A184" s="55" t="s">
        <v>330</v>
      </c>
      <c r="B184" s="2" t="s">
        <v>31</v>
      </c>
      <c r="C184" s="30" t="s">
        <v>912</v>
      </c>
      <c r="D184" s="2" t="s">
        <v>313</v>
      </c>
      <c r="E184" s="96" t="s">
        <v>1161</v>
      </c>
      <c r="F184" s="70">
        <v>45698</v>
      </c>
      <c r="G184" s="30" t="s">
        <v>142</v>
      </c>
      <c r="H184" s="94" t="s">
        <v>1165</v>
      </c>
      <c r="I184" s="111">
        <v>246477927.00999999</v>
      </c>
      <c r="J184" s="101">
        <v>46830806</v>
      </c>
      <c r="K184" s="47">
        <v>293308733.00999999</v>
      </c>
      <c r="L184" s="77" t="s">
        <v>84</v>
      </c>
      <c r="M184" s="54">
        <v>830068179</v>
      </c>
      <c r="N184" s="30" t="s">
        <v>103</v>
      </c>
      <c r="O184" s="2" t="s">
        <v>1163</v>
      </c>
      <c r="P184" s="73" t="s">
        <v>318</v>
      </c>
      <c r="Q184" s="3"/>
      <c r="R184" s="32">
        <f>+Tabla1513[[#This Row],[VALOR INICIAL DEL CONTRATO CON IVA]]+Tabla1513[[#This Row],[VALOR DE LAS ADICIONES CON IVA]]</f>
        <v>293308733.00999999</v>
      </c>
      <c r="S184" s="48">
        <f>+Tabla1513[[#This Row],[FECHA TERMINACIÓN INICIAL CONTRATO]]-Tabla1513[[#This Row],[FECHA INICIO CONTRATO]]</f>
        <v>1095</v>
      </c>
      <c r="T184" s="24" t="s">
        <v>318</v>
      </c>
      <c r="U184" s="4"/>
      <c r="V184" s="56" t="s">
        <v>318</v>
      </c>
      <c r="W184" s="70">
        <v>45698</v>
      </c>
      <c r="X184" s="70">
        <v>46793</v>
      </c>
      <c r="Y184" s="70">
        <v>46793</v>
      </c>
      <c r="Z184" s="72" t="s">
        <v>319</v>
      </c>
      <c r="AA184" s="60"/>
      <c r="AB184" s="131"/>
      <c r="AC184" s="56" t="s">
        <v>558</v>
      </c>
      <c r="AD184" s="34"/>
      <c r="AE184" s="34"/>
      <c r="AF184" s="35"/>
      <c r="AG184" s="36" t="s">
        <v>1345</v>
      </c>
      <c r="AH184" s="63">
        <v>2025</v>
      </c>
    </row>
    <row r="185" spans="1:34" s="30" customFormat="1" ht="29" x14ac:dyDescent="0.35">
      <c r="A185" s="55" t="s">
        <v>330</v>
      </c>
      <c r="B185" s="2" t="s">
        <v>410</v>
      </c>
      <c r="C185" s="30" t="s">
        <v>74</v>
      </c>
      <c r="D185" s="2" t="s">
        <v>313</v>
      </c>
      <c r="E185" s="96" t="s">
        <v>1162</v>
      </c>
      <c r="F185" s="70">
        <v>45702</v>
      </c>
      <c r="G185" s="30" t="s">
        <v>150</v>
      </c>
      <c r="H185" s="94" t="s">
        <v>1132</v>
      </c>
      <c r="I185" s="111">
        <v>151386032</v>
      </c>
      <c r="J185" s="101">
        <v>28763346</v>
      </c>
      <c r="K185" s="47">
        <v>180149378</v>
      </c>
      <c r="L185" s="77" t="s">
        <v>84</v>
      </c>
      <c r="M185" s="54">
        <v>900474600</v>
      </c>
      <c r="N185" s="30" t="s">
        <v>120</v>
      </c>
      <c r="O185" s="2" t="s">
        <v>1164</v>
      </c>
      <c r="P185" s="73" t="s">
        <v>318</v>
      </c>
      <c r="Q185" s="3"/>
      <c r="R185" s="32">
        <f>+Tabla1513[[#This Row],[VALOR INICIAL DEL CONTRATO CON IVA]]+Tabla1513[[#This Row],[VALOR DE LAS ADICIONES CON IVA]]</f>
        <v>180149378</v>
      </c>
      <c r="S185" s="48">
        <f>+Tabla1513[[#This Row],[FECHA TERMINACIÓN INICIAL CONTRATO]]-Tabla1513[[#This Row],[FECHA INICIO CONTRATO]]</f>
        <v>308</v>
      </c>
      <c r="T185" s="24" t="s">
        <v>318</v>
      </c>
      <c r="U185" s="4"/>
      <c r="V185" s="56" t="s">
        <v>318</v>
      </c>
      <c r="W185" s="70">
        <v>45714</v>
      </c>
      <c r="X185" s="70">
        <v>46022</v>
      </c>
      <c r="Y185" s="70">
        <v>46022</v>
      </c>
      <c r="Z185" s="72" t="s">
        <v>319</v>
      </c>
      <c r="AA185" s="60"/>
      <c r="AB185" s="131"/>
      <c r="AC185" s="56" t="s">
        <v>1256</v>
      </c>
      <c r="AD185" s="34"/>
      <c r="AE185" s="34"/>
      <c r="AF185" s="35"/>
      <c r="AG185" s="36" t="s">
        <v>1532</v>
      </c>
      <c r="AH185" s="63">
        <v>2025</v>
      </c>
    </row>
    <row r="186" spans="1:34" s="30" customFormat="1" ht="29" x14ac:dyDescent="0.35">
      <c r="A186" s="55" t="s">
        <v>330</v>
      </c>
      <c r="B186" s="2" t="s">
        <v>422</v>
      </c>
      <c r="C186" s="30" t="s">
        <v>43</v>
      </c>
      <c r="D186" s="2" t="s">
        <v>313</v>
      </c>
      <c r="E186" s="96" t="s">
        <v>1166</v>
      </c>
      <c r="F186" s="70">
        <v>45705</v>
      </c>
      <c r="G186" s="30" t="s">
        <v>150</v>
      </c>
      <c r="H186" s="94" t="s">
        <v>1170</v>
      </c>
      <c r="I186" s="111">
        <v>40000000</v>
      </c>
      <c r="J186" s="101">
        <v>0</v>
      </c>
      <c r="K186" s="47">
        <v>40000000</v>
      </c>
      <c r="L186" s="77" t="s">
        <v>96</v>
      </c>
      <c r="M186" s="54">
        <v>50937514</v>
      </c>
      <c r="O186" s="2" t="s">
        <v>1168</v>
      </c>
      <c r="P186" s="73" t="s">
        <v>318</v>
      </c>
      <c r="Q186" s="3"/>
      <c r="R186" s="32">
        <f>+Tabla1513[[#This Row],[VALOR INICIAL DEL CONTRATO CON IVA]]+Tabla1513[[#This Row],[VALOR DE LAS ADICIONES CON IVA]]</f>
        <v>40000000</v>
      </c>
      <c r="S186" s="48">
        <f>+Tabla1513[[#This Row],[FECHA TERMINACIÓN INICIAL CONTRATO]]-Tabla1513[[#This Row],[FECHA INICIO CONTRATO]]</f>
        <v>150</v>
      </c>
      <c r="T186" s="24" t="s">
        <v>318</v>
      </c>
      <c r="U186" s="4"/>
      <c r="V186" s="56" t="s">
        <v>318</v>
      </c>
      <c r="W186" s="70">
        <v>45707</v>
      </c>
      <c r="X186" s="70">
        <v>45857</v>
      </c>
      <c r="Y186" s="70">
        <v>45857</v>
      </c>
      <c r="Z186" s="72" t="s">
        <v>405</v>
      </c>
      <c r="AA186" s="60"/>
      <c r="AB186" s="60" t="s">
        <v>406</v>
      </c>
      <c r="AC186" s="56" t="s">
        <v>415</v>
      </c>
      <c r="AD186" s="34"/>
      <c r="AE186" s="34"/>
      <c r="AF186" s="35"/>
      <c r="AG186" s="36" t="s">
        <v>1346</v>
      </c>
      <c r="AH186" s="63">
        <v>2025</v>
      </c>
    </row>
    <row r="187" spans="1:34" s="30" customFormat="1" ht="58" x14ac:dyDescent="0.35">
      <c r="A187" s="55" t="s">
        <v>330</v>
      </c>
      <c r="B187" s="2" t="s">
        <v>410</v>
      </c>
      <c r="C187" s="30" t="s">
        <v>74</v>
      </c>
      <c r="D187" s="2" t="s">
        <v>313</v>
      </c>
      <c r="E187" s="96" t="s">
        <v>1167</v>
      </c>
      <c r="F187" s="70">
        <v>45705</v>
      </c>
      <c r="G187" s="30" t="s">
        <v>150</v>
      </c>
      <c r="H187" s="94" t="s">
        <v>1132</v>
      </c>
      <c r="I187" s="111">
        <v>129095000</v>
      </c>
      <c r="J187" s="101">
        <v>24528050</v>
      </c>
      <c r="K187" s="47">
        <v>153623050</v>
      </c>
      <c r="L187" s="77" t="s">
        <v>84</v>
      </c>
      <c r="M187" s="54">
        <v>901046977</v>
      </c>
      <c r="N187" s="30" t="s">
        <v>117</v>
      </c>
      <c r="O187" s="2" t="s">
        <v>1169</v>
      </c>
      <c r="P187" s="73" t="s">
        <v>318</v>
      </c>
      <c r="Q187" s="3"/>
      <c r="R187" s="32">
        <f>+Tabla1513[[#This Row],[VALOR INICIAL DEL CONTRATO CON IVA]]+Tabla1513[[#This Row],[VALOR DE LAS ADICIONES CON IVA]]</f>
        <v>153623050</v>
      </c>
      <c r="S187" s="48">
        <f>+Tabla1513[[#This Row],[FECHA TERMINACIÓN INICIAL CONTRATO]]-Tabla1513[[#This Row],[FECHA INICIO CONTRATO]]</f>
        <v>308</v>
      </c>
      <c r="T187" s="24" t="s">
        <v>318</v>
      </c>
      <c r="U187" s="4"/>
      <c r="V187" s="56" t="s">
        <v>318</v>
      </c>
      <c r="W187" s="70">
        <v>45714</v>
      </c>
      <c r="X187" s="70">
        <v>46022</v>
      </c>
      <c r="Y187" s="70">
        <v>46022</v>
      </c>
      <c r="Z187" s="72" t="s">
        <v>319</v>
      </c>
      <c r="AA187" s="60"/>
      <c r="AB187" s="131"/>
      <c r="AC187" s="56" t="s">
        <v>1171</v>
      </c>
      <c r="AD187" s="34"/>
      <c r="AE187" s="34"/>
      <c r="AF187" s="35"/>
      <c r="AG187" s="36" t="s">
        <v>1455</v>
      </c>
      <c r="AH187" s="63">
        <v>2025</v>
      </c>
    </row>
    <row r="188" spans="1:34" s="30" customFormat="1" ht="29" x14ac:dyDescent="0.35">
      <c r="A188" s="55" t="s">
        <v>330</v>
      </c>
      <c r="B188" s="2" t="s">
        <v>410</v>
      </c>
      <c r="C188" s="30" t="s">
        <v>74</v>
      </c>
      <c r="D188" s="2" t="s">
        <v>313</v>
      </c>
      <c r="E188" s="96" t="s">
        <v>1172</v>
      </c>
      <c r="F188" s="70">
        <v>45706</v>
      </c>
      <c r="G188" s="30" t="s">
        <v>150</v>
      </c>
      <c r="H188" s="94" t="s">
        <v>1132</v>
      </c>
      <c r="I188" s="111">
        <v>201386032</v>
      </c>
      <c r="J188" s="101">
        <v>38263346</v>
      </c>
      <c r="K188" s="47">
        <v>239649378</v>
      </c>
      <c r="L188" s="77" t="s">
        <v>84</v>
      </c>
      <c r="M188" s="54">
        <v>830021370</v>
      </c>
      <c r="N188" s="30" t="s">
        <v>91</v>
      </c>
      <c r="O188" s="2" t="s">
        <v>732</v>
      </c>
      <c r="P188" s="73" t="s">
        <v>318</v>
      </c>
      <c r="Q188" s="3"/>
      <c r="R188" s="32">
        <f>+Tabla1513[[#This Row],[VALOR INICIAL DEL CONTRATO CON IVA]]+Tabla1513[[#This Row],[VALOR DE LAS ADICIONES CON IVA]]</f>
        <v>239649378</v>
      </c>
      <c r="S188" s="48">
        <f>+Tabla1513[[#This Row],[FECHA TERMINACIÓN INICIAL CONTRATO]]-Tabla1513[[#This Row],[FECHA INICIO CONTRATO]]</f>
        <v>307</v>
      </c>
      <c r="T188" s="24" t="s">
        <v>318</v>
      </c>
      <c r="U188" s="4"/>
      <c r="V188" s="56" t="s">
        <v>318</v>
      </c>
      <c r="W188" s="70">
        <v>45715</v>
      </c>
      <c r="X188" s="70">
        <v>46022</v>
      </c>
      <c r="Y188" s="70">
        <v>46022</v>
      </c>
      <c r="Z188" s="72" t="s">
        <v>319</v>
      </c>
      <c r="AA188" s="60"/>
      <c r="AB188" s="131"/>
      <c r="AC188" s="56" t="s">
        <v>1052</v>
      </c>
      <c r="AD188" s="34"/>
      <c r="AE188" s="34"/>
      <c r="AF188" s="35"/>
      <c r="AG188" s="36" t="s">
        <v>1346</v>
      </c>
      <c r="AH188" s="63">
        <v>2025</v>
      </c>
    </row>
    <row r="189" spans="1:34" s="30" customFormat="1" ht="29" x14ac:dyDescent="0.35">
      <c r="A189" s="55" t="s">
        <v>330</v>
      </c>
      <c r="B189" s="2" t="s">
        <v>11</v>
      </c>
      <c r="C189" s="30" t="s">
        <v>19</v>
      </c>
      <c r="D189" s="2" t="s">
        <v>313</v>
      </c>
      <c r="E189" s="96" t="s">
        <v>1173</v>
      </c>
      <c r="F189" s="70">
        <v>45705</v>
      </c>
      <c r="G189" s="30" t="s">
        <v>150</v>
      </c>
      <c r="H189" s="94" t="s">
        <v>1174</v>
      </c>
      <c r="I189" s="81">
        <v>58145085</v>
      </c>
      <c r="J189" s="32">
        <v>11047566</v>
      </c>
      <c r="K189" s="47">
        <v>69192651</v>
      </c>
      <c r="L189" s="77" t="s">
        <v>84</v>
      </c>
      <c r="M189" s="54">
        <v>800000457</v>
      </c>
      <c r="N189" s="30" t="s">
        <v>108</v>
      </c>
      <c r="O189" s="2" t="s">
        <v>547</v>
      </c>
      <c r="P189" s="73" t="s">
        <v>318</v>
      </c>
      <c r="Q189" s="3"/>
      <c r="R189" s="32">
        <f>+Tabla1513[[#This Row],[VALOR INICIAL DEL CONTRATO CON IVA]]+Tabla1513[[#This Row],[VALOR DE LAS ADICIONES CON IVA]]</f>
        <v>69192651</v>
      </c>
      <c r="S189" s="48">
        <f>+Tabla1513[[#This Row],[FECHA TERMINACIÓN INICIAL CONTRATO]]-Tabla1513[[#This Row],[FECHA INICIO CONTRATO]]</f>
        <v>1047</v>
      </c>
      <c r="T189" s="24" t="s">
        <v>318</v>
      </c>
      <c r="U189" s="4"/>
      <c r="V189" s="56" t="s">
        <v>318</v>
      </c>
      <c r="W189" s="70">
        <v>45705</v>
      </c>
      <c r="X189" s="70">
        <v>46752</v>
      </c>
      <c r="Y189" s="70">
        <v>46752</v>
      </c>
      <c r="Z189" s="72" t="s">
        <v>319</v>
      </c>
      <c r="AA189" s="60"/>
      <c r="AB189" s="131"/>
      <c r="AC189" s="56" t="s">
        <v>535</v>
      </c>
      <c r="AD189" s="34"/>
      <c r="AE189" s="34"/>
      <c r="AF189" s="35"/>
      <c r="AG189" s="36" t="s">
        <v>1347</v>
      </c>
      <c r="AH189" s="63">
        <v>2025</v>
      </c>
    </row>
    <row r="190" spans="1:34" s="30" customFormat="1" ht="29" x14ac:dyDescent="0.35">
      <c r="A190" s="55" t="s">
        <v>330</v>
      </c>
      <c r="B190" s="2" t="s">
        <v>410</v>
      </c>
      <c r="C190" s="30" t="s">
        <v>74</v>
      </c>
      <c r="D190" s="2" t="s">
        <v>313</v>
      </c>
      <c r="E190" s="96" t="s">
        <v>1175</v>
      </c>
      <c r="F190" s="70">
        <v>45706</v>
      </c>
      <c r="G190" s="30" t="s">
        <v>150</v>
      </c>
      <c r="H190" s="94" t="s">
        <v>1132</v>
      </c>
      <c r="I190" s="111">
        <v>195595000</v>
      </c>
      <c r="J190" s="101">
        <v>37163050</v>
      </c>
      <c r="K190" s="47">
        <v>232758050</v>
      </c>
      <c r="L190" s="77" t="s">
        <v>84</v>
      </c>
      <c r="M190" s="54">
        <v>830500635</v>
      </c>
      <c r="N190" s="30" t="s">
        <v>103</v>
      </c>
      <c r="O190" s="2" t="s">
        <v>1177</v>
      </c>
      <c r="P190" s="73" t="s">
        <v>318</v>
      </c>
      <c r="Q190" s="3"/>
      <c r="R190" s="32">
        <f>+Tabla1513[[#This Row],[VALOR INICIAL DEL CONTRATO CON IVA]]+Tabla1513[[#This Row],[VALOR DE LAS ADICIONES CON IVA]]</f>
        <v>232758050</v>
      </c>
      <c r="S190" s="48">
        <f>+Tabla1513[[#This Row],[FECHA TERMINACIÓN INICIAL CONTRATO]]-Tabla1513[[#This Row],[FECHA INICIO CONTRATO]]</f>
        <v>308</v>
      </c>
      <c r="T190" s="24" t="s">
        <v>318</v>
      </c>
      <c r="U190" s="4"/>
      <c r="V190" s="56" t="s">
        <v>318</v>
      </c>
      <c r="W190" s="70">
        <v>45714</v>
      </c>
      <c r="X190" s="70">
        <v>46022</v>
      </c>
      <c r="Y190" s="70">
        <v>46022</v>
      </c>
      <c r="Z190" s="72" t="s">
        <v>319</v>
      </c>
      <c r="AA190" s="60"/>
      <c r="AB190" s="131"/>
      <c r="AC190" s="56" t="s">
        <v>1180</v>
      </c>
      <c r="AD190" s="34"/>
      <c r="AE190" s="34"/>
      <c r="AF190" s="35"/>
      <c r="AG190" s="36" t="s">
        <v>1348</v>
      </c>
      <c r="AH190" s="63">
        <v>2025</v>
      </c>
    </row>
    <row r="191" spans="1:34" s="30" customFormat="1" ht="29" x14ac:dyDescent="0.35">
      <c r="A191" s="55" t="s">
        <v>330</v>
      </c>
      <c r="B191" s="2" t="s">
        <v>4</v>
      </c>
      <c r="C191" s="30" t="s">
        <v>9</v>
      </c>
      <c r="D191" s="2" t="s">
        <v>313</v>
      </c>
      <c r="E191" s="96" t="s">
        <v>1176</v>
      </c>
      <c r="F191" s="70">
        <v>45708</v>
      </c>
      <c r="G191" s="30" t="s">
        <v>150</v>
      </c>
      <c r="H191" s="94" t="s">
        <v>1178</v>
      </c>
      <c r="I191" s="111">
        <v>26892485</v>
      </c>
      <c r="J191" s="101">
        <v>5109572</v>
      </c>
      <c r="K191" s="47">
        <v>32002057</v>
      </c>
      <c r="L191" s="77" t="s">
        <v>96</v>
      </c>
      <c r="M191" s="54">
        <v>19342114</v>
      </c>
      <c r="O191" s="2" t="s">
        <v>1179</v>
      </c>
      <c r="P191" s="73" t="s">
        <v>318</v>
      </c>
      <c r="Q191" s="3"/>
      <c r="R191" s="32">
        <f>+Tabla1513[[#This Row],[VALOR INICIAL DEL CONTRATO CON IVA]]+Tabla1513[[#This Row],[VALOR DE LAS ADICIONES CON IVA]]</f>
        <v>32002057</v>
      </c>
      <c r="S191" s="48">
        <f>+Tabla1513[[#This Row],[FECHA TERMINACIÓN INICIAL CONTRATO]]-Tabla1513[[#This Row],[FECHA INICIO CONTRATO]]</f>
        <v>313</v>
      </c>
      <c r="T191" s="24" t="s">
        <v>318</v>
      </c>
      <c r="U191" s="4"/>
      <c r="V191" s="56" t="s">
        <v>318</v>
      </c>
      <c r="W191" s="70">
        <v>45709</v>
      </c>
      <c r="X191" s="70">
        <v>46022</v>
      </c>
      <c r="Y191" s="70">
        <v>46022</v>
      </c>
      <c r="Z191" s="72" t="s">
        <v>319</v>
      </c>
      <c r="AA191" s="60"/>
      <c r="AB191" s="131"/>
      <c r="AC191" s="56" t="s">
        <v>415</v>
      </c>
      <c r="AD191" s="34"/>
      <c r="AE191" s="34"/>
      <c r="AF191" s="35"/>
      <c r="AG191" s="36" t="s">
        <v>1349</v>
      </c>
      <c r="AH191" s="63">
        <v>2025</v>
      </c>
    </row>
    <row r="192" spans="1:34" s="30" customFormat="1" ht="29" x14ac:dyDescent="0.35">
      <c r="A192" s="55" t="s">
        <v>330</v>
      </c>
      <c r="B192" s="2" t="s">
        <v>11</v>
      </c>
      <c r="C192" s="30" t="s">
        <v>19</v>
      </c>
      <c r="D192" s="2" t="s">
        <v>714</v>
      </c>
      <c r="E192" s="96" t="s">
        <v>1241</v>
      </c>
      <c r="F192" s="70">
        <v>45713</v>
      </c>
      <c r="G192" s="30" t="s">
        <v>150</v>
      </c>
      <c r="H192" s="94" t="s">
        <v>1242</v>
      </c>
      <c r="I192" s="81">
        <v>5139200</v>
      </c>
      <c r="J192" s="32">
        <v>976448</v>
      </c>
      <c r="K192" s="47">
        <v>6115648</v>
      </c>
      <c r="L192" s="77" t="s">
        <v>84</v>
      </c>
      <c r="M192" s="54">
        <v>800099308</v>
      </c>
      <c r="N192" s="30" t="s">
        <v>85</v>
      </c>
      <c r="O192" s="2" t="s">
        <v>540</v>
      </c>
      <c r="P192" s="73" t="s">
        <v>318</v>
      </c>
      <c r="Q192" s="3"/>
      <c r="R192" s="32">
        <f>+Tabla1513[[#This Row],[VALOR INICIAL DEL CONTRATO CON IVA]]+Tabla1513[[#This Row],[VALOR DE LAS ADICIONES CON IVA]]</f>
        <v>6115648</v>
      </c>
      <c r="S192" s="48">
        <f>+Tabla1513[[#This Row],[FECHA TERMINACIÓN INICIAL CONTRATO]]-Tabla1513[[#This Row],[FECHA INICIO CONTRATO]]</f>
        <v>30</v>
      </c>
      <c r="T192" s="24" t="s">
        <v>318</v>
      </c>
      <c r="U192" s="4"/>
      <c r="V192" s="24" t="s">
        <v>318</v>
      </c>
      <c r="W192" s="70">
        <v>45713</v>
      </c>
      <c r="X192" s="70">
        <v>45743</v>
      </c>
      <c r="Y192" s="70">
        <v>45743</v>
      </c>
      <c r="Z192" s="72" t="s">
        <v>405</v>
      </c>
      <c r="AA192" s="60"/>
      <c r="AB192" s="60" t="s">
        <v>406</v>
      </c>
      <c r="AC192" s="56" t="s">
        <v>421</v>
      </c>
      <c r="AD192" s="34"/>
      <c r="AE192" s="34"/>
      <c r="AF192" s="35"/>
      <c r="AG192" s="36" t="s">
        <v>1350</v>
      </c>
      <c r="AH192" s="63">
        <v>2025</v>
      </c>
    </row>
    <row r="193" spans="1:34" s="30" customFormat="1" ht="29" x14ac:dyDescent="0.35">
      <c r="A193" s="55" t="s">
        <v>330</v>
      </c>
      <c r="B193" s="2" t="s">
        <v>422</v>
      </c>
      <c r="C193" s="30" t="s">
        <v>43</v>
      </c>
      <c r="D193" s="2" t="s">
        <v>313</v>
      </c>
      <c r="E193" s="96" t="s">
        <v>1181</v>
      </c>
      <c r="F193" s="70">
        <v>45714</v>
      </c>
      <c r="G193" s="30" t="s">
        <v>150</v>
      </c>
      <c r="H193" s="94" t="s">
        <v>1183</v>
      </c>
      <c r="I193" s="111">
        <v>40000000</v>
      </c>
      <c r="J193" s="101">
        <v>0</v>
      </c>
      <c r="K193" s="47">
        <v>40000000</v>
      </c>
      <c r="L193" s="77" t="s">
        <v>96</v>
      </c>
      <c r="M193" s="54">
        <v>79882503</v>
      </c>
      <c r="O193" s="2" t="s">
        <v>756</v>
      </c>
      <c r="P193" s="73" t="s">
        <v>318</v>
      </c>
      <c r="Q193" s="3"/>
      <c r="R193" s="32">
        <f>+Tabla1513[[#This Row],[VALOR INICIAL DEL CONTRATO CON IVA]]+Tabla1513[[#This Row],[VALOR DE LAS ADICIONES CON IVA]]</f>
        <v>40000000</v>
      </c>
      <c r="S193" s="48">
        <f>+Tabla1513[[#This Row],[FECHA TERMINACIÓN INICIAL CONTRATO]]-Tabla1513[[#This Row],[FECHA INICIO CONTRATO]]</f>
        <v>153</v>
      </c>
      <c r="T193" s="24" t="s">
        <v>318</v>
      </c>
      <c r="U193" s="4"/>
      <c r="V193" s="56" t="s">
        <v>318</v>
      </c>
      <c r="W193" s="70">
        <v>45719</v>
      </c>
      <c r="X193" s="70">
        <v>45872</v>
      </c>
      <c r="Y193" s="70">
        <v>45872</v>
      </c>
      <c r="Z193" s="72" t="s">
        <v>405</v>
      </c>
      <c r="AA193" s="60"/>
      <c r="AB193" s="60" t="s">
        <v>406</v>
      </c>
      <c r="AC193" s="56" t="s">
        <v>415</v>
      </c>
      <c r="AD193" s="34"/>
      <c r="AE193" s="34"/>
      <c r="AF193" s="35"/>
      <c r="AG193" s="36" t="s">
        <v>1456</v>
      </c>
      <c r="AH193" s="63">
        <v>2025</v>
      </c>
    </row>
    <row r="194" spans="1:34" s="30" customFormat="1" ht="43.5" x14ac:dyDescent="0.35">
      <c r="A194" s="55" t="s">
        <v>330</v>
      </c>
      <c r="B194" s="2" t="s">
        <v>11</v>
      </c>
      <c r="C194" s="30" t="s">
        <v>19</v>
      </c>
      <c r="D194" s="2" t="s">
        <v>313</v>
      </c>
      <c r="E194" s="96" t="s">
        <v>1182</v>
      </c>
      <c r="F194" s="70">
        <v>45716</v>
      </c>
      <c r="G194" s="30" t="s">
        <v>142</v>
      </c>
      <c r="H194" s="94" t="s">
        <v>1184</v>
      </c>
      <c r="I194" s="81">
        <v>39615200.009999998</v>
      </c>
      <c r="J194" s="32">
        <v>0</v>
      </c>
      <c r="K194" s="47">
        <v>39615200</v>
      </c>
      <c r="L194" s="77" t="s">
        <v>96</v>
      </c>
      <c r="M194" s="54">
        <v>1016041679</v>
      </c>
      <c r="N194" s="30" t="s">
        <v>111</v>
      </c>
      <c r="O194" s="2" t="s">
        <v>799</v>
      </c>
      <c r="P194" s="73" t="s">
        <v>318</v>
      </c>
      <c r="Q194" s="3"/>
      <c r="R194" s="32">
        <f>+Tabla1513[[#This Row],[VALOR INICIAL DEL CONTRATO CON IVA]]+Tabla1513[[#This Row],[VALOR DE LAS ADICIONES CON IVA]]</f>
        <v>39615200</v>
      </c>
      <c r="S194" s="48">
        <f>+Tabla1513[[#This Row],[FECHA TERMINACIÓN INICIAL CONTRATO]]-Tabla1513[[#This Row],[FECHA INICIO CONTRATO]]</f>
        <v>320</v>
      </c>
      <c r="T194" s="24" t="s">
        <v>318</v>
      </c>
      <c r="U194" s="4"/>
      <c r="V194" s="56" t="s">
        <v>318</v>
      </c>
      <c r="W194" s="70">
        <v>45733</v>
      </c>
      <c r="X194" s="70">
        <v>46053</v>
      </c>
      <c r="Y194" s="70">
        <v>46053</v>
      </c>
      <c r="Z194" s="72" t="s">
        <v>319</v>
      </c>
      <c r="AA194" s="60"/>
      <c r="AB194" s="131"/>
      <c r="AC194" s="56" t="s">
        <v>964</v>
      </c>
      <c r="AD194" s="34"/>
      <c r="AE194" s="34"/>
      <c r="AF194" s="35"/>
      <c r="AG194" s="36" t="s">
        <v>1533</v>
      </c>
      <c r="AH194" s="63">
        <v>2025</v>
      </c>
    </row>
    <row r="195" spans="1:34" s="30" customFormat="1" ht="29" x14ac:dyDescent="0.35">
      <c r="A195" s="55" t="s">
        <v>330</v>
      </c>
      <c r="B195" s="2" t="s">
        <v>422</v>
      </c>
      <c r="C195" s="30" t="s">
        <v>48</v>
      </c>
      <c r="D195" s="2" t="s">
        <v>313</v>
      </c>
      <c r="E195" s="96" t="s">
        <v>1185</v>
      </c>
      <c r="F195" s="70">
        <v>45719</v>
      </c>
      <c r="G195" s="30" t="s">
        <v>150</v>
      </c>
      <c r="H195" s="94" t="s">
        <v>1188</v>
      </c>
      <c r="I195" s="111">
        <v>40000000</v>
      </c>
      <c r="J195" s="101">
        <v>0</v>
      </c>
      <c r="K195" s="47">
        <v>40000000</v>
      </c>
      <c r="L195" s="77" t="s">
        <v>96</v>
      </c>
      <c r="M195" s="54">
        <v>80376806</v>
      </c>
      <c r="O195" s="2" t="s">
        <v>758</v>
      </c>
      <c r="P195" s="73" t="s">
        <v>318</v>
      </c>
      <c r="Q195" s="3"/>
      <c r="R195" s="32">
        <f>+Tabla1513[[#This Row],[VALOR INICIAL DEL CONTRATO CON IVA]]+Tabla1513[[#This Row],[VALOR DE LAS ADICIONES CON IVA]]</f>
        <v>40000000</v>
      </c>
      <c r="S195" s="48">
        <f>+Tabla1513[[#This Row],[FECHA TERMINACIÓN INICIAL CONTRATO]]-Tabla1513[[#This Row],[FECHA INICIO CONTRATO]]</f>
        <v>153</v>
      </c>
      <c r="T195" s="24" t="s">
        <v>318</v>
      </c>
      <c r="U195" s="4"/>
      <c r="V195" s="56" t="s">
        <v>318</v>
      </c>
      <c r="W195" s="70">
        <v>45726</v>
      </c>
      <c r="X195" s="70">
        <v>45879</v>
      </c>
      <c r="Y195" s="70">
        <v>45879</v>
      </c>
      <c r="Z195" s="72" t="s">
        <v>405</v>
      </c>
      <c r="AA195" s="60"/>
      <c r="AB195" s="60" t="s">
        <v>406</v>
      </c>
      <c r="AC195" s="56" t="s">
        <v>415</v>
      </c>
      <c r="AD195" s="34"/>
      <c r="AE195" s="34"/>
      <c r="AF195" s="35"/>
      <c r="AG195" s="36" t="s">
        <v>1534</v>
      </c>
      <c r="AH195" s="63">
        <v>2025</v>
      </c>
    </row>
    <row r="196" spans="1:34" s="30" customFormat="1" ht="43.5" x14ac:dyDescent="0.35">
      <c r="A196" s="55" t="s">
        <v>330</v>
      </c>
      <c r="B196" s="2" t="s">
        <v>410</v>
      </c>
      <c r="C196" s="30" t="s">
        <v>74</v>
      </c>
      <c r="D196" s="2" t="s">
        <v>313</v>
      </c>
      <c r="E196" s="96" t="s">
        <v>1186</v>
      </c>
      <c r="F196" s="70">
        <v>45721</v>
      </c>
      <c r="G196" s="30" t="s">
        <v>150</v>
      </c>
      <c r="H196" s="94" t="s">
        <v>1187</v>
      </c>
      <c r="I196" s="111">
        <v>226550790</v>
      </c>
      <c r="J196" s="101">
        <v>43044650</v>
      </c>
      <c r="K196" s="47">
        <v>269595440</v>
      </c>
      <c r="L196" s="77" t="s">
        <v>84</v>
      </c>
      <c r="M196" s="54">
        <v>901399147</v>
      </c>
      <c r="N196" s="30" t="s">
        <v>111</v>
      </c>
      <c r="O196" s="2" t="s">
        <v>736</v>
      </c>
      <c r="P196" s="73" t="s">
        <v>318</v>
      </c>
      <c r="Q196" s="3"/>
      <c r="R196" s="32">
        <f>+Tabla1513[[#This Row],[VALOR INICIAL DEL CONTRATO CON IVA]]+Tabla1513[[#This Row],[VALOR DE LAS ADICIONES CON IVA]]</f>
        <v>269595440</v>
      </c>
      <c r="S196" s="48">
        <f>+Tabla1513[[#This Row],[FECHA TERMINACIÓN INICIAL CONTRATO]]-Tabla1513[[#This Row],[FECHA INICIO CONTRATO]]</f>
        <v>301</v>
      </c>
      <c r="T196" s="24" t="s">
        <v>318</v>
      </c>
      <c r="U196" s="4"/>
      <c r="V196" s="56" t="s">
        <v>318</v>
      </c>
      <c r="W196" s="70">
        <v>45721</v>
      </c>
      <c r="X196" s="70">
        <v>46022</v>
      </c>
      <c r="Y196" s="70">
        <v>46022</v>
      </c>
      <c r="Z196" s="72" t="s">
        <v>319</v>
      </c>
      <c r="AA196" s="60"/>
      <c r="AB196" s="131"/>
      <c r="AC196" s="56" t="s">
        <v>1189</v>
      </c>
      <c r="AD196" s="34"/>
      <c r="AE196" s="34"/>
      <c r="AF196" s="35"/>
      <c r="AG196" s="36" t="s">
        <v>1352</v>
      </c>
      <c r="AH196" s="63">
        <v>2025</v>
      </c>
    </row>
    <row r="197" spans="1:34" s="30" customFormat="1" ht="43.5" x14ac:dyDescent="0.35">
      <c r="A197" s="55" t="s">
        <v>330</v>
      </c>
      <c r="B197" s="2" t="s">
        <v>11</v>
      </c>
      <c r="C197" s="30" t="s">
        <v>20</v>
      </c>
      <c r="D197" s="2" t="s">
        <v>313</v>
      </c>
      <c r="E197" s="96" t="s">
        <v>1193</v>
      </c>
      <c r="F197" s="70">
        <v>45726</v>
      </c>
      <c r="G197" s="30" t="s">
        <v>150</v>
      </c>
      <c r="H197" s="94" t="s">
        <v>1194</v>
      </c>
      <c r="I197" s="111">
        <v>100000000</v>
      </c>
      <c r="J197" s="101">
        <v>19000000</v>
      </c>
      <c r="K197" s="47">
        <v>119000000</v>
      </c>
      <c r="L197" s="77" t="s">
        <v>84</v>
      </c>
      <c r="M197" s="54">
        <v>860076579</v>
      </c>
      <c r="N197" s="30" t="s">
        <v>123</v>
      </c>
      <c r="O197" s="2" t="s">
        <v>737</v>
      </c>
      <c r="P197" s="73" t="s">
        <v>318</v>
      </c>
      <c r="Q197" s="3"/>
      <c r="R197" s="32">
        <f>+Tabla1513[[#This Row],[VALOR INICIAL DEL CONTRATO CON IVA]]+Tabla1513[[#This Row],[VALOR DE LAS ADICIONES CON IVA]]</f>
        <v>119000000</v>
      </c>
      <c r="S197" s="48">
        <f>+Tabla1513[[#This Row],[FECHA TERMINACIÓN INICIAL CONTRATO]]-Tabla1513[[#This Row],[FECHA INICIO CONTRATO]]</f>
        <v>296</v>
      </c>
      <c r="T197" s="24" t="s">
        <v>318</v>
      </c>
      <c r="U197" s="4"/>
      <c r="V197" s="24" t="s">
        <v>318</v>
      </c>
      <c r="W197" s="70">
        <v>45726</v>
      </c>
      <c r="X197" s="70">
        <v>46022</v>
      </c>
      <c r="Y197" s="70">
        <v>46022</v>
      </c>
      <c r="Z197" s="72" t="s">
        <v>319</v>
      </c>
      <c r="AA197" s="60"/>
      <c r="AB197" s="131"/>
      <c r="AC197" s="56" t="s">
        <v>770</v>
      </c>
      <c r="AD197" s="34"/>
      <c r="AE197" s="34"/>
      <c r="AF197" s="35"/>
      <c r="AG197" s="36" t="s">
        <v>1353</v>
      </c>
      <c r="AH197" s="63">
        <v>2025</v>
      </c>
    </row>
    <row r="198" spans="1:34" s="30" customFormat="1" ht="105.5" customHeight="1" x14ac:dyDescent="0.35">
      <c r="A198" s="55" t="s">
        <v>330</v>
      </c>
      <c r="B198" s="2" t="s">
        <v>410</v>
      </c>
      <c r="C198" s="30" t="s">
        <v>74</v>
      </c>
      <c r="D198" s="2" t="s">
        <v>313</v>
      </c>
      <c r="E198" s="96" t="s">
        <v>1195</v>
      </c>
      <c r="F198" s="70">
        <v>45723</v>
      </c>
      <c r="G198" s="30" t="s">
        <v>150</v>
      </c>
      <c r="H198" s="94" t="s">
        <v>1187</v>
      </c>
      <c r="I198" s="111">
        <v>207500000</v>
      </c>
      <c r="J198" s="101">
        <v>39425000</v>
      </c>
      <c r="K198" s="47">
        <v>246925000</v>
      </c>
      <c r="L198" s="77" t="s">
        <v>84</v>
      </c>
      <c r="M198" s="54">
        <v>830114663</v>
      </c>
      <c r="N198" s="30" t="s">
        <v>108</v>
      </c>
      <c r="O198" s="2" t="s">
        <v>1196</v>
      </c>
      <c r="P198" s="73" t="s">
        <v>318</v>
      </c>
      <c r="Q198" s="3"/>
      <c r="R198" s="32">
        <f>+Tabla1513[[#This Row],[VALOR INICIAL DEL CONTRATO CON IVA]]+Tabla1513[[#This Row],[VALOR DE LAS ADICIONES CON IVA]]</f>
        <v>246925000</v>
      </c>
      <c r="S198" s="48">
        <f>+Tabla1513[[#This Row],[FECHA TERMINACIÓN INICIAL CONTRATO]]-Tabla1513[[#This Row],[FECHA INICIO CONTRATO]]</f>
        <v>285</v>
      </c>
      <c r="T198" s="24" t="s">
        <v>318</v>
      </c>
      <c r="U198" s="4"/>
      <c r="V198" s="24" t="s">
        <v>318</v>
      </c>
      <c r="W198" s="70">
        <v>45737</v>
      </c>
      <c r="X198" s="70">
        <v>46022</v>
      </c>
      <c r="Y198" s="70">
        <v>46022</v>
      </c>
      <c r="Z198" s="72" t="s">
        <v>319</v>
      </c>
      <c r="AA198" s="60"/>
      <c r="AB198" s="131"/>
      <c r="AC198" s="56" t="s">
        <v>1053</v>
      </c>
      <c r="AD198" s="34"/>
      <c r="AE198" s="34"/>
      <c r="AF198" s="35"/>
      <c r="AG198" s="36" t="s">
        <v>1354</v>
      </c>
      <c r="AH198" s="63">
        <v>2025</v>
      </c>
    </row>
    <row r="199" spans="1:34" s="30" customFormat="1" ht="29" x14ac:dyDescent="0.35">
      <c r="A199" s="55" t="s">
        <v>330</v>
      </c>
      <c r="B199" s="2" t="s">
        <v>410</v>
      </c>
      <c r="C199" s="30" t="s">
        <v>74</v>
      </c>
      <c r="D199" s="2" t="s">
        <v>313</v>
      </c>
      <c r="E199" s="96" t="s">
        <v>1197</v>
      </c>
      <c r="F199" s="70">
        <v>45723</v>
      </c>
      <c r="G199" s="30" t="s">
        <v>150</v>
      </c>
      <c r="H199" s="94" t="s">
        <v>1198</v>
      </c>
      <c r="I199" s="111">
        <v>35000000</v>
      </c>
      <c r="J199" s="101">
        <v>6650000</v>
      </c>
      <c r="K199" s="47">
        <v>41650000</v>
      </c>
      <c r="L199" s="77" t="s">
        <v>84</v>
      </c>
      <c r="M199" s="54">
        <v>800030235</v>
      </c>
      <c r="N199" s="30" t="s">
        <v>108</v>
      </c>
      <c r="O199" s="2" t="s">
        <v>783</v>
      </c>
      <c r="P199" s="73" t="s">
        <v>318</v>
      </c>
      <c r="Q199" s="3"/>
      <c r="R199" s="32">
        <f>+Tabla1513[[#This Row],[VALOR INICIAL DEL CONTRATO CON IVA]]+Tabla1513[[#This Row],[VALOR DE LAS ADICIONES CON IVA]]</f>
        <v>41650000</v>
      </c>
      <c r="S199" s="48">
        <f>+Tabla1513[[#This Row],[FECHA TERMINACIÓN INICIAL CONTRATO]]-Tabla1513[[#This Row],[FECHA INICIO CONTRATO]]</f>
        <v>285</v>
      </c>
      <c r="T199" s="24" t="s">
        <v>318</v>
      </c>
      <c r="U199" s="4"/>
      <c r="V199" s="24" t="s">
        <v>318</v>
      </c>
      <c r="W199" s="70">
        <v>45737</v>
      </c>
      <c r="X199" s="70">
        <v>46022</v>
      </c>
      <c r="Y199" s="70">
        <v>46022</v>
      </c>
      <c r="Z199" s="72" t="s">
        <v>319</v>
      </c>
      <c r="AA199" s="60"/>
      <c r="AB199" s="131"/>
      <c r="AC199" s="56" t="s">
        <v>1134</v>
      </c>
      <c r="AD199" s="34"/>
      <c r="AE199" s="34"/>
      <c r="AF199" s="35"/>
      <c r="AG199" s="36" t="s">
        <v>1355</v>
      </c>
      <c r="AH199" s="63">
        <v>2025</v>
      </c>
    </row>
    <row r="200" spans="1:34" s="30" customFormat="1" ht="29" x14ac:dyDescent="0.35">
      <c r="A200" s="55" t="s">
        <v>330</v>
      </c>
      <c r="B200" s="2" t="s">
        <v>410</v>
      </c>
      <c r="C200" s="30" t="s">
        <v>74</v>
      </c>
      <c r="D200" s="2" t="s">
        <v>313</v>
      </c>
      <c r="E200" s="96" t="s">
        <v>1199</v>
      </c>
      <c r="F200" s="70">
        <v>45726</v>
      </c>
      <c r="G200" s="30" t="s">
        <v>150</v>
      </c>
      <c r="H200" s="94" t="s">
        <v>1200</v>
      </c>
      <c r="I200" s="111">
        <v>35000000</v>
      </c>
      <c r="J200" s="101">
        <v>6650000</v>
      </c>
      <c r="K200" s="47">
        <v>41650000</v>
      </c>
      <c r="L200" s="77" t="s">
        <v>84</v>
      </c>
      <c r="M200" s="54">
        <v>900239271</v>
      </c>
      <c r="N200" s="30" t="s">
        <v>91</v>
      </c>
      <c r="O200" s="2" t="s">
        <v>1201</v>
      </c>
      <c r="P200" s="73" t="s">
        <v>318</v>
      </c>
      <c r="Q200" s="3"/>
      <c r="R200" s="32">
        <f>+Tabla1513[[#This Row],[VALOR INICIAL DEL CONTRATO CON IVA]]+Tabla1513[[#This Row],[VALOR DE LAS ADICIONES CON IVA]]</f>
        <v>41650000</v>
      </c>
      <c r="S200" s="48">
        <f>+Tabla1513[[#This Row],[FECHA TERMINACIÓN INICIAL CONTRATO]]-Tabla1513[[#This Row],[FECHA INICIO CONTRATO]]</f>
        <v>296</v>
      </c>
      <c r="T200" s="24" t="s">
        <v>318</v>
      </c>
      <c r="U200" s="4"/>
      <c r="V200" s="24" t="s">
        <v>318</v>
      </c>
      <c r="W200" s="70">
        <v>45726</v>
      </c>
      <c r="X200" s="70">
        <v>46022</v>
      </c>
      <c r="Y200" s="70">
        <v>46022</v>
      </c>
      <c r="Z200" s="72" t="s">
        <v>319</v>
      </c>
      <c r="AA200" s="60"/>
      <c r="AB200" s="131"/>
      <c r="AC200" s="56" t="s">
        <v>1134</v>
      </c>
      <c r="AD200" s="34"/>
      <c r="AE200" s="34"/>
      <c r="AF200" s="35"/>
      <c r="AG200" s="36" t="s">
        <v>1356</v>
      </c>
      <c r="AH200" s="63">
        <v>2025</v>
      </c>
    </row>
    <row r="201" spans="1:34" s="30" customFormat="1" ht="43.5" x14ac:dyDescent="0.35">
      <c r="A201" s="55" t="s">
        <v>330</v>
      </c>
      <c r="B201" s="2" t="s">
        <v>11</v>
      </c>
      <c r="C201" s="30" t="s">
        <v>20</v>
      </c>
      <c r="D201" s="2" t="s">
        <v>313</v>
      </c>
      <c r="E201" s="96" t="s">
        <v>1202</v>
      </c>
      <c r="F201" s="70">
        <v>45727</v>
      </c>
      <c r="G201" s="30" t="s">
        <v>150</v>
      </c>
      <c r="H201" s="94" t="s">
        <v>1203</v>
      </c>
      <c r="I201" s="111">
        <v>4580000</v>
      </c>
      <c r="J201" s="101">
        <v>0</v>
      </c>
      <c r="K201" s="47">
        <v>4580000</v>
      </c>
      <c r="L201" s="77" t="s">
        <v>84</v>
      </c>
      <c r="M201" s="54">
        <v>890901389</v>
      </c>
      <c r="N201" s="30" t="s">
        <v>111</v>
      </c>
      <c r="O201" s="2" t="s">
        <v>1204</v>
      </c>
      <c r="P201" s="73" t="s">
        <v>318</v>
      </c>
      <c r="Q201" s="3"/>
      <c r="R201" s="32">
        <f>+Tabla1513[[#This Row],[VALOR INICIAL DEL CONTRATO CON IVA]]+Tabla1513[[#This Row],[VALOR DE LAS ADICIONES CON IVA]]</f>
        <v>4580000</v>
      </c>
      <c r="S201" s="48">
        <f>+Tabla1513[[#This Row],[FECHA TERMINACIÓN INICIAL CONTRATO]]-Tabla1513[[#This Row],[FECHA INICIO CONTRATO]]</f>
        <v>50</v>
      </c>
      <c r="T201" s="24" t="s">
        <v>318</v>
      </c>
      <c r="U201" s="4"/>
      <c r="V201" s="24" t="s">
        <v>318</v>
      </c>
      <c r="W201" s="70">
        <v>45727</v>
      </c>
      <c r="X201" s="70">
        <v>45777</v>
      </c>
      <c r="Y201" s="70">
        <v>45777</v>
      </c>
      <c r="Z201" s="72" t="s">
        <v>405</v>
      </c>
      <c r="AA201" s="60"/>
      <c r="AB201" s="60" t="s">
        <v>406</v>
      </c>
      <c r="AC201" s="56" t="s">
        <v>770</v>
      </c>
      <c r="AD201" s="34"/>
      <c r="AE201" s="34"/>
      <c r="AF201" s="35"/>
      <c r="AG201" s="36" t="s">
        <v>1357</v>
      </c>
      <c r="AH201" s="63">
        <v>2025</v>
      </c>
    </row>
    <row r="202" spans="1:34" s="30" customFormat="1" ht="29" x14ac:dyDescent="0.35">
      <c r="A202" s="55" t="s">
        <v>330</v>
      </c>
      <c r="B202" s="2" t="s">
        <v>4</v>
      </c>
      <c r="C202" s="30" t="s">
        <v>9</v>
      </c>
      <c r="D202" s="2" t="s">
        <v>313</v>
      </c>
      <c r="E202" s="96" t="s">
        <v>1205</v>
      </c>
      <c r="F202" s="70">
        <v>45728</v>
      </c>
      <c r="G202" s="30" t="s">
        <v>150</v>
      </c>
      <c r="H202" s="94" t="s">
        <v>1207</v>
      </c>
      <c r="I202" s="111">
        <v>61441380</v>
      </c>
      <c r="J202" s="101">
        <v>11673862</v>
      </c>
      <c r="K202" s="47">
        <v>73115242</v>
      </c>
      <c r="L202" s="77" t="s">
        <v>96</v>
      </c>
      <c r="M202" s="54">
        <v>79563277</v>
      </c>
      <c r="O202" s="2" t="s">
        <v>1206</v>
      </c>
      <c r="P202" s="73" t="s">
        <v>318</v>
      </c>
      <c r="Q202" s="3"/>
      <c r="R202" s="32">
        <f>+Tabla1513[[#This Row],[VALOR INICIAL DEL CONTRATO CON IVA]]+Tabla1513[[#This Row],[VALOR DE LAS ADICIONES CON IVA]]</f>
        <v>73115242</v>
      </c>
      <c r="S202" s="48">
        <f>+Tabla1513[[#This Row],[FECHA TERMINACIÓN INICIAL CONTRATO]]-Tabla1513[[#This Row],[FECHA INICIO CONTRATO]]</f>
        <v>105</v>
      </c>
      <c r="T202" s="24" t="s">
        <v>318</v>
      </c>
      <c r="U202" s="4"/>
      <c r="V202" s="24" t="s">
        <v>318</v>
      </c>
      <c r="W202" s="70">
        <v>45733</v>
      </c>
      <c r="X202" s="70">
        <v>45838</v>
      </c>
      <c r="Y202" s="70">
        <v>45838</v>
      </c>
      <c r="Z202" s="72" t="s">
        <v>411</v>
      </c>
      <c r="AA202" s="60">
        <v>45854</v>
      </c>
      <c r="AB202" s="60" t="s">
        <v>406</v>
      </c>
      <c r="AC202" s="56" t="s">
        <v>434</v>
      </c>
      <c r="AD202" s="34">
        <v>1</v>
      </c>
      <c r="AE202" s="34"/>
      <c r="AF202" s="35">
        <v>63681017</v>
      </c>
      <c r="AG202" s="36" t="s">
        <v>1358</v>
      </c>
      <c r="AH202" s="63">
        <v>2025</v>
      </c>
    </row>
    <row r="203" spans="1:34" s="30" customFormat="1" ht="29" x14ac:dyDescent="0.35">
      <c r="A203" s="55" t="s">
        <v>330</v>
      </c>
      <c r="B203" s="2" t="s">
        <v>473</v>
      </c>
      <c r="C203" s="30" t="s">
        <v>63</v>
      </c>
      <c r="D203" s="2" t="s">
        <v>313</v>
      </c>
      <c r="E203" s="96" t="s">
        <v>1208</v>
      </c>
      <c r="F203" s="70">
        <v>45736</v>
      </c>
      <c r="G203" s="30" t="s">
        <v>150</v>
      </c>
      <c r="H203" s="94" t="s">
        <v>1209</v>
      </c>
      <c r="I203" s="111">
        <v>56000000</v>
      </c>
      <c r="J203" s="101">
        <v>0</v>
      </c>
      <c r="K203" s="47">
        <v>56000000</v>
      </c>
      <c r="L203" s="77" t="s">
        <v>96</v>
      </c>
      <c r="M203" s="54">
        <v>1082217074</v>
      </c>
      <c r="O203" s="2" t="s">
        <v>842</v>
      </c>
      <c r="P203" s="73" t="s">
        <v>318</v>
      </c>
      <c r="Q203" s="3"/>
      <c r="R203" s="32">
        <f>+Tabla1513[[#This Row],[VALOR INICIAL DEL CONTRATO CON IVA]]+Tabla1513[[#This Row],[VALOR DE LAS ADICIONES CON IVA]]</f>
        <v>56000000</v>
      </c>
      <c r="S203" s="48">
        <f>+Tabla1513[[#This Row],[FECHA TERMINACIÓN INICIAL CONTRATO]]-Tabla1513[[#This Row],[FECHA INICIO CONTRATO]]</f>
        <v>274</v>
      </c>
      <c r="T203" s="24" t="s">
        <v>318</v>
      </c>
      <c r="U203" s="4"/>
      <c r="V203" s="24" t="s">
        <v>318</v>
      </c>
      <c r="W203" s="70">
        <v>45748</v>
      </c>
      <c r="X203" s="70">
        <v>46022</v>
      </c>
      <c r="Y203" s="70">
        <v>46022</v>
      </c>
      <c r="Z203" s="72" t="s">
        <v>319</v>
      </c>
      <c r="AA203" s="60"/>
      <c r="AB203" s="131"/>
      <c r="AC203" s="56" t="s">
        <v>434</v>
      </c>
      <c r="AD203" s="34"/>
      <c r="AE203" s="34"/>
      <c r="AF203" s="35"/>
      <c r="AG203" s="36" t="s">
        <v>1359</v>
      </c>
      <c r="AH203" s="63">
        <v>2025</v>
      </c>
    </row>
    <row r="204" spans="1:34" s="30" customFormat="1" ht="43.5" x14ac:dyDescent="0.35">
      <c r="A204" s="55" t="s">
        <v>330</v>
      </c>
      <c r="B204" s="2" t="s">
        <v>11</v>
      </c>
      <c r="C204" s="30" t="s">
        <v>20</v>
      </c>
      <c r="D204" s="2" t="s">
        <v>313</v>
      </c>
      <c r="E204" s="96" t="s">
        <v>1210</v>
      </c>
      <c r="F204" s="70">
        <v>45736</v>
      </c>
      <c r="G204" s="30" t="s">
        <v>150</v>
      </c>
      <c r="H204" s="94" t="s">
        <v>1212</v>
      </c>
      <c r="I204" s="111">
        <v>31770000</v>
      </c>
      <c r="J204" s="101">
        <v>6036300</v>
      </c>
      <c r="K204" s="47">
        <v>37806300</v>
      </c>
      <c r="L204" s="77" t="s">
        <v>84</v>
      </c>
      <c r="M204" s="54">
        <v>860049275</v>
      </c>
      <c r="N204" s="30" t="s">
        <v>85</v>
      </c>
      <c r="O204" s="2" t="s">
        <v>1211</v>
      </c>
      <c r="P204" s="73" t="s">
        <v>318</v>
      </c>
      <c r="Q204" s="3"/>
      <c r="R204" s="32">
        <f>+Tabla1513[[#This Row],[VALOR INICIAL DEL CONTRATO CON IVA]]+Tabla1513[[#This Row],[VALOR DE LAS ADICIONES CON IVA]]</f>
        <v>37806300</v>
      </c>
      <c r="S204" s="48">
        <f>+Tabla1513[[#This Row],[FECHA TERMINACIÓN INICIAL CONTRATO]]-Tabla1513[[#This Row],[FECHA INICIO CONTRATO]]</f>
        <v>286</v>
      </c>
      <c r="T204" s="24" t="s">
        <v>318</v>
      </c>
      <c r="U204" s="4"/>
      <c r="V204" s="24" t="s">
        <v>318</v>
      </c>
      <c r="W204" s="70">
        <v>45736</v>
      </c>
      <c r="X204" s="70">
        <v>46022</v>
      </c>
      <c r="Y204" s="70">
        <v>46022</v>
      </c>
      <c r="Z204" s="72" t="s">
        <v>319</v>
      </c>
      <c r="AA204" s="60"/>
      <c r="AB204" s="131"/>
      <c r="AC204" s="56" t="s">
        <v>770</v>
      </c>
      <c r="AD204" s="34"/>
      <c r="AE204" s="34"/>
      <c r="AF204" s="35"/>
      <c r="AG204" s="36" t="s">
        <v>1360</v>
      </c>
      <c r="AH204" s="63">
        <v>2025</v>
      </c>
    </row>
    <row r="205" spans="1:34" s="30" customFormat="1" ht="29" x14ac:dyDescent="0.35">
      <c r="A205" s="55" t="s">
        <v>330</v>
      </c>
      <c r="B205" s="2" t="s">
        <v>410</v>
      </c>
      <c r="C205" s="30" t="s">
        <v>66</v>
      </c>
      <c r="D205" s="2" t="s">
        <v>313</v>
      </c>
      <c r="E205" s="96" t="s">
        <v>1213</v>
      </c>
      <c r="F205" s="70">
        <v>45736</v>
      </c>
      <c r="G205" s="30" t="s">
        <v>150</v>
      </c>
      <c r="H205" s="94" t="s">
        <v>1217</v>
      </c>
      <c r="I205" s="111">
        <v>29456000</v>
      </c>
      <c r="J205" s="101">
        <v>5596640</v>
      </c>
      <c r="K205" s="47">
        <v>35052640</v>
      </c>
      <c r="L205" s="77" t="s">
        <v>84</v>
      </c>
      <c r="M205" s="54">
        <v>901435584</v>
      </c>
      <c r="N205" s="30" t="s">
        <v>111</v>
      </c>
      <c r="O205" s="2" t="s">
        <v>782</v>
      </c>
      <c r="P205" s="73" t="s">
        <v>318</v>
      </c>
      <c r="Q205" s="3"/>
      <c r="R205" s="32">
        <f>+Tabla1513[[#This Row],[VALOR INICIAL DEL CONTRATO CON IVA]]+Tabla1513[[#This Row],[VALOR DE LAS ADICIONES CON IVA]]</f>
        <v>35052640</v>
      </c>
      <c r="S205" s="48">
        <f>+Tabla1513[[#This Row],[FECHA TERMINACIÓN INICIAL CONTRATO]]-Tabla1513[[#This Row],[FECHA INICIO CONTRATO]]</f>
        <v>265</v>
      </c>
      <c r="T205" s="24" t="s">
        <v>318</v>
      </c>
      <c r="U205" s="4"/>
      <c r="V205" s="24" t="s">
        <v>318</v>
      </c>
      <c r="W205" s="70">
        <v>45757</v>
      </c>
      <c r="X205" s="70">
        <v>46022</v>
      </c>
      <c r="Y205" s="70">
        <v>46022</v>
      </c>
      <c r="Z205" s="72" t="s">
        <v>319</v>
      </c>
      <c r="AA205" s="60"/>
      <c r="AB205" s="131"/>
      <c r="AC205" s="56" t="s">
        <v>434</v>
      </c>
      <c r="AD205" s="34"/>
      <c r="AE205" s="34"/>
      <c r="AF205" s="35"/>
      <c r="AG205" s="36" t="s">
        <v>1361</v>
      </c>
      <c r="AH205" s="63">
        <v>2025</v>
      </c>
    </row>
    <row r="206" spans="1:34" s="30" customFormat="1" ht="29" x14ac:dyDescent="0.35">
      <c r="A206" s="55" t="s">
        <v>330</v>
      </c>
      <c r="B206" s="2" t="s">
        <v>11</v>
      </c>
      <c r="C206" s="30" t="s">
        <v>19</v>
      </c>
      <c r="D206" s="2" t="s">
        <v>714</v>
      </c>
      <c r="E206" s="96" t="s">
        <v>1214</v>
      </c>
      <c r="F206" s="70">
        <v>45737</v>
      </c>
      <c r="G206" s="30" t="s">
        <v>113</v>
      </c>
      <c r="H206" s="94" t="s">
        <v>1215</v>
      </c>
      <c r="I206" s="81">
        <v>2299000</v>
      </c>
      <c r="J206" s="32">
        <v>436810</v>
      </c>
      <c r="K206" s="47">
        <v>2735810</v>
      </c>
      <c r="L206" s="77" t="s">
        <v>84</v>
      </c>
      <c r="M206" s="54">
        <v>900074348</v>
      </c>
      <c r="N206" s="30" t="s">
        <v>91</v>
      </c>
      <c r="O206" s="2" t="s">
        <v>1216</v>
      </c>
      <c r="P206" s="73" t="s">
        <v>318</v>
      </c>
      <c r="Q206" s="3"/>
      <c r="R206" s="32">
        <f>+Tabla1513[[#This Row],[VALOR INICIAL DEL CONTRATO CON IVA]]+Tabla1513[[#This Row],[VALOR DE LAS ADICIONES CON IVA]]</f>
        <v>2735810</v>
      </c>
      <c r="S206" s="48">
        <f>+Tabla1513[[#This Row],[FECHA TERMINACIÓN INICIAL CONTRATO]]-Tabla1513[[#This Row],[FECHA INICIO CONTRATO]]</f>
        <v>6</v>
      </c>
      <c r="T206" s="24" t="s">
        <v>318</v>
      </c>
      <c r="U206" s="4"/>
      <c r="V206" s="24" t="s">
        <v>318</v>
      </c>
      <c r="W206" s="70">
        <v>45737</v>
      </c>
      <c r="X206" s="70">
        <v>45743</v>
      </c>
      <c r="Y206" s="70">
        <v>45743</v>
      </c>
      <c r="Z206" s="72" t="s">
        <v>405</v>
      </c>
      <c r="AA206" s="60"/>
      <c r="AB206" s="60" t="s">
        <v>406</v>
      </c>
      <c r="AC206" s="56" t="s">
        <v>1062</v>
      </c>
      <c r="AD206" s="34"/>
      <c r="AE206" s="34"/>
      <c r="AF206" s="35"/>
      <c r="AG206" s="36" t="s">
        <v>1362</v>
      </c>
      <c r="AH206" s="63">
        <v>2025</v>
      </c>
    </row>
    <row r="207" spans="1:34" s="30" customFormat="1" ht="29" x14ac:dyDescent="0.35">
      <c r="A207" s="55" t="s">
        <v>330</v>
      </c>
      <c r="B207" s="2" t="s">
        <v>473</v>
      </c>
      <c r="C207" s="30" t="s">
        <v>63</v>
      </c>
      <c r="D207" s="2" t="s">
        <v>313</v>
      </c>
      <c r="E207" s="96" t="s">
        <v>1218</v>
      </c>
      <c r="F207" s="70">
        <v>45743</v>
      </c>
      <c r="G207" s="30" t="s">
        <v>150</v>
      </c>
      <c r="H207" s="94" t="s">
        <v>1220</v>
      </c>
      <c r="I207" s="111">
        <v>26000000</v>
      </c>
      <c r="J207" s="101">
        <v>0</v>
      </c>
      <c r="K207" s="47">
        <v>26000000</v>
      </c>
      <c r="L207" s="77" t="s">
        <v>96</v>
      </c>
      <c r="M207" s="54">
        <v>1007699251</v>
      </c>
      <c r="O207" s="2" t="s">
        <v>1221</v>
      </c>
      <c r="P207" s="73" t="s">
        <v>318</v>
      </c>
      <c r="Q207" s="3"/>
      <c r="R207" s="32">
        <f>+Tabla1513[[#This Row],[VALOR INICIAL DEL CONTRATO CON IVA]]+Tabla1513[[#This Row],[VALOR DE LAS ADICIONES CON IVA]]</f>
        <v>26000000</v>
      </c>
      <c r="S207" s="48">
        <f>+Tabla1513[[#This Row],[FECHA TERMINACIÓN INICIAL CONTRATO]]-Tabla1513[[#This Row],[FECHA INICIO CONTRATO]]</f>
        <v>274</v>
      </c>
      <c r="T207" s="24" t="s">
        <v>318</v>
      </c>
      <c r="U207" s="4"/>
      <c r="V207" s="24" t="s">
        <v>318</v>
      </c>
      <c r="W207" s="70">
        <v>45748</v>
      </c>
      <c r="X207" s="70">
        <v>46022</v>
      </c>
      <c r="Y207" s="70">
        <v>46022</v>
      </c>
      <c r="Z207" s="72" t="s">
        <v>319</v>
      </c>
      <c r="AA207" s="60"/>
      <c r="AB207" s="131"/>
      <c r="AC207" s="56" t="s">
        <v>434</v>
      </c>
      <c r="AD207" s="34"/>
      <c r="AE207" s="34"/>
      <c r="AF207" s="35"/>
      <c r="AG207" s="36" t="s">
        <v>1535</v>
      </c>
      <c r="AH207" s="63">
        <v>2025</v>
      </c>
    </row>
    <row r="208" spans="1:34" s="30" customFormat="1" ht="43.5" x14ac:dyDescent="0.35">
      <c r="A208" s="55" t="s">
        <v>330</v>
      </c>
      <c r="B208" s="2" t="s">
        <v>11</v>
      </c>
      <c r="C208" s="30" t="s">
        <v>18</v>
      </c>
      <c r="D208" s="2" t="s">
        <v>313</v>
      </c>
      <c r="E208" s="96" t="s">
        <v>1219</v>
      </c>
      <c r="F208" s="70">
        <v>45737</v>
      </c>
      <c r="G208" s="30" t="s">
        <v>150</v>
      </c>
      <c r="H208" s="94" t="s">
        <v>1222</v>
      </c>
      <c r="I208" s="111">
        <v>20000000</v>
      </c>
      <c r="J208" s="101">
        <v>0</v>
      </c>
      <c r="K208" s="47">
        <v>20000000</v>
      </c>
      <c r="L208" s="77" t="s">
        <v>96</v>
      </c>
      <c r="M208" s="54">
        <v>1013586805</v>
      </c>
      <c r="O208" s="2" t="s">
        <v>1223</v>
      </c>
      <c r="P208" s="73" t="s">
        <v>318</v>
      </c>
      <c r="Q208" s="3"/>
      <c r="R208" s="32">
        <f>+Tabla1513[[#This Row],[VALOR INICIAL DEL CONTRATO CON IVA]]+Tabla1513[[#This Row],[VALOR DE LAS ADICIONES CON IVA]]</f>
        <v>20000000</v>
      </c>
      <c r="S208" s="48">
        <f>+Tabla1513[[#This Row],[FECHA TERMINACIÓN INICIAL CONTRATO]]-Tabla1513[[#This Row],[FECHA INICIO CONTRATO]]</f>
        <v>274</v>
      </c>
      <c r="T208" s="24" t="s">
        <v>318</v>
      </c>
      <c r="U208" s="4"/>
      <c r="V208" s="24" t="s">
        <v>318</v>
      </c>
      <c r="W208" s="70">
        <v>45748</v>
      </c>
      <c r="X208" s="70">
        <v>46022</v>
      </c>
      <c r="Y208" s="70">
        <v>46022</v>
      </c>
      <c r="Z208" s="72" t="s">
        <v>319</v>
      </c>
      <c r="AA208" s="60"/>
      <c r="AB208" s="131"/>
      <c r="AC208" s="56" t="s">
        <v>1063</v>
      </c>
      <c r="AD208" s="34"/>
      <c r="AE208" s="34"/>
      <c r="AF208" s="35"/>
      <c r="AG208" s="36" t="s">
        <v>1457</v>
      </c>
      <c r="AH208" s="63">
        <v>2025</v>
      </c>
    </row>
    <row r="209" spans="1:34" s="30" customFormat="1" ht="29" x14ac:dyDescent="0.35">
      <c r="A209" s="55" t="s">
        <v>330</v>
      </c>
      <c r="B209" s="2" t="s">
        <v>473</v>
      </c>
      <c r="C209" s="30" t="s">
        <v>63</v>
      </c>
      <c r="D209" s="2" t="s">
        <v>313</v>
      </c>
      <c r="E209" s="96" t="s">
        <v>1225</v>
      </c>
      <c r="F209" s="70">
        <v>45741</v>
      </c>
      <c r="G209" s="30" t="s">
        <v>150</v>
      </c>
      <c r="H209" s="94" t="s">
        <v>1228</v>
      </c>
      <c r="I209" s="111">
        <v>44000000</v>
      </c>
      <c r="J209" s="101">
        <v>0</v>
      </c>
      <c r="K209" s="47">
        <v>44000000</v>
      </c>
      <c r="L209" s="77" t="s">
        <v>96</v>
      </c>
      <c r="M209" s="54">
        <v>1083039219</v>
      </c>
      <c r="O209" s="2" t="s">
        <v>854</v>
      </c>
      <c r="P209" s="73" t="s">
        <v>318</v>
      </c>
      <c r="Q209" s="3"/>
      <c r="R209" s="32">
        <f>+Tabla1513[[#This Row],[VALOR INICIAL DEL CONTRATO CON IVA]]+Tabla1513[[#This Row],[VALOR DE LAS ADICIONES CON IVA]]</f>
        <v>44000000</v>
      </c>
      <c r="S209" s="48">
        <f>+Tabla1513[[#This Row],[FECHA TERMINACIÓN INICIAL CONTRATO]]-Tabla1513[[#This Row],[FECHA INICIO CONTRATO]]</f>
        <v>274</v>
      </c>
      <c r="T209" s="24" t="s">
        <v>318</v>
      </c>
      <c r="U209" s="4"/>
      <c r="V209" s="24" t="s">
        <v>318</v>
      </c>
      <c r="W209" s="70">
        <v>45748</v>
      </c>
      <c r="X209" s="70">
        <v>46022</v>
      </c>
      <c r="Y209" s="70">
        <v>46022</v>
      </c>
      <c r="Z209" s="72" t="s">
        <v>319</v>
      </c>
      <c r="AA209" s="60"/>
      <c r="AB209" s="131"/>
      <c r="AC209" s="56" t="s">
        <v>434</v>
      </c>
      <c r="AD209" s="34"/>
      <c r="AE209" s="34"/>
      <c r="AF209" s="35"/>
      <c r="AG209" s="36" t="s">
        <v>1363</v>
      </c>
      <c r="AH209" s="63">
        <v>2025</v>
      </c>
    </row>
    <row r="210" spans="1:34" s="30" customFormat="1" ht="29" x14ac:dyDescent="0.35">
      <c r="A210" s="55" t="s">
        <v>330</v>
      </c>
      <c r="B210" s="2" t="s">
        <v>473</v>
      </c>
      <c r="C210" s="30" t="s">
        <v>63</v>
      </c>
      <c r="D210" s="2" t="s">
        <v>313</v>
      </c>
      <c r="E210" s="96" t="s">
        <v>1224</v>
      </c>
      <c r="F210" s="70">
        <v>45742</v>
      </c>
      <c r="G210" s="30" t="s">
        <v>150</v>
      </c>
      <c r="H210" s="94" t="s">
        <v>1226</v>
      </c>
      <c r="I210" s="111">
        <v>60966667</v>
      </c>
      <c r="J210" s="101">
        <v>0</v>
      </c>
      <c r="K210" s="47">
        <v>60966667</v>
      </c>
      <c r="L210" s="77" t="s">
        <v>96</v>
      </c>
      <c r="M210" s="54">
        <v>80190832</v>
      </c>
      <c r="O210" s="2" t="s">
        <v>1227</v>
      </c>
      <c r="P210" s="73" t="s">
        <v>318</v>
      </c>
      <c r="Q210" s="3"/>
      <c r="R210" s="32">
        <f>+Tabla1513[[#This Row],[VALOR INICIAL DEL CONTRATO CON IVA]]+Tabla1513[[#This Row],[VALOR DE LAS ADICIONES CON IVA]]</f>
        <v>60966667</v>
      </c>
      <c r="S210" s="48">
        <f>+Tabla1513[[#This Row],[FECHA TERMINACIÓN INICIAL CONTRATO]]-Tabla1513[[#This Row],[FECHA INICIO CONTRATO]]</f>
        <v>274</v>
      </c>
      <c r="T210" s="24" t="s">
        <v>318</v>
      </c>
      <c r="U210" s="4"/>
      <c r="V210" s="24" t="s">
        <v>318</v>
      </c>
      <c r="W210" s="70">
        <v>45748</v>
      </c>
      <c r="X210" s="70">
        <v>46022</v>
      </c>
      <c r="Y210" s="70">
        <v>46022</v>
      </c>
      <c r="Z210" s="72" t="s">
        <v>319</v>
      </c>
      <c r="AA210" s="60"/>
      <c r="AB210" s="131"/>
      <c r="AC210" s="56" t="s">
        <v>434</v>
      </c>
      <c r="AD210" s="34"/>
      <c r="AE210" s="34"/>
      <c r="AF210" s="35"/>
      <c r="AG210" s="36" t="s">
        <v>1458</v>
      </c>
      <c r="AH210" s="63">
        <v>2025</v>
      </c>
    </row>
    <row r="211" spans="1:34" s="30" customFormat="1" ht="43.5" x14ac:dyDescent="0.35">
      <c r="A211" s="55" t="s">
        <v>330</v>
      </c>
      <c r="B211" s="2" t="s">
        <v>11</v>
      </c>
      <c r="C211" s="30" t="s">
        <v>20</v>
      </c>
      <c r="D211" s="2" t="s">
        <v>313</v>
      </c>
      <c r="E211" s="96" t="s">
        <v>1229</v>
      </c>
      <c r="F211" s="70">
        <v>45743</v>
      </c>
      <c r="G211" s="30" t="s">
        <v>150</v>
      </c>
      <c r="H211" s="94" t="s">
        <v>1230</v>
      </c>
      <c r="I211" s="111">
        <v>20000000</v>
      </c>
      <c r="J211" s="101">
        <v>3800000</v>
      </c>
      <c r="K211" s="47">
        <v>23800000</v>
      </c>
      <c r="L211" s="77" t="s">
        <v>84</v>
      </c>
      <c r="M211" s="54">
        <v>901058686</v>
      </c>
      <c r="N211" s="30" t="s">
        <v>85</v>
      </c>
      <c r="O211" s="2" t="s">
        <v>1231</v>
      </c>
      <c r="P211" s="73" t="s">
        <v>318</v>
      </c>
      <c r="Q211" s="3"/>
      <c r="R211" s="32">
        <f>+Tabla1513[[#This Row],[VALOR INICIAL DEL CONTRATO CON IVA]]+Tabla1513[[#This Row],[VALOR DE LAS ADICIONES CON IVA]]</f>
        <v>23800000</v>
      </c>
      <c r="S211" s="48">
        <f>+Tabla1513[[#This Row],[FECHA TERMINACIÓN INICIAL CONTRATO]]-Tabla1513[[#This Row],[FECHA INICIO CONTRATO]]</f>
        <v>279</v>
      </c>
      <c r="T211" s="24" t="s">
        <v>318</v>
      </c>
      <c r="U211" s="4"/>
      <c r="V211" s="24" t="s">
        <v>318</v>
      </c>
      <c r="W211" s="70">
        <v>45743</v>
      </c>
      <c r="X211" s="70">
        <v>46022</v>
      </c>
      <c r="Y211" s="70">
        <v>46022</v>
      </c>
      <c r="Z211" s="72" t="s">
        <v>319</v>
      </c>
      <c r="AA211" s="60"/>
      <c r="AB211" s="131"/>
      <c r="AC211" s="56" t="s">
        <v>770</v>
      </c>
      <c r="AD211" s="34"/>
      <c r="AE211" s="34"/>
      <c r="AF211" s="35"/>
      <c r="AG211" s="36" t="s">
        <v>1364</v>
      </c>
      <c r="AH211" s="63">
        <v>2025</v>
      </c>
    </row>
    <row r="212" spans="1:34" s="30" customFormat="1" ht="101.5" x14ac:dyDescent="0.35">
      <c r="A212" s="55" t="s">
        <v>330</v>
      </c>
      <c r="B212" s="2" t="s">
        <v>11</v>
      </c>
      <c r="C212" s="30" t="s">
        <v>18</v>
      </c>
      <c r="D212" s="2" t="s">
        <v>313</v>
      </c>
      <c r="E212" s="96" t="s">
        <v>1232</v>
      </c>
      <c r="F212" s="70">
        <v>45744</v>
      </c>
      <c r="G212" s="30" t="s">
        <v>150</v>
      </c>
      <c r="H212" s="94" t="s">
        <v>1235</v>
      </c>
      <c r="I212" s="111">
        <v>791454805</v>
      </c>
      <c r="J212" s="101">
        <v>150376413</v>
      </c>
      <c r="K212" s="47">
        <v>941831218</v>
      </c>
      <c r="L212" s="77" t="s">
        <v>84</v>
      </c>
      <c r="M212" s="54">
        <v>860066942</v>
      </c>
      <c r="N212" s="30" t="s">
        <v>117</v>
      </c>
      <c r="O212" s="2" t="s">
        <v>1236</v>
      </c>
      <c r="P212" s="73" t="s">
        <v>318</v>
      </c>
      <c r="Q212" s="3"/>
      <c r="R212" s="32">
        <f>+Tabla1513[[#This Row],[VALOR INICIAL DEL CONTRATO CON IVA]]+Tabla1513[[#This Row],[VALOR DE LAS ADICIONES CON IVA]]</f>
        <v>941831218</v>
      </c>
      <c r="S212" s="48">
        <f>+Tabla1513[[#This Row],[FECHA TERMINACIÓN INICIAL CONTRATO]]-Tabla1513[[#This Row],[FECHA INICIO CONTRATO]]</f>
        <v>278</v>
      </c>
      <c r="T212" s="24" t="s">
        <v>318</v>
      </c>
      <c r="U212" s="4"/>
      <c r="V212" s="24" t="s">
        <v>318</v>
      </c>
      <c r="W212" s="70">
        <v>45744</v>
      </c>
      <c r="X212" s="70">
        <v>46022</v>
      </c>
      <c r="Y212" s="70">
        <v>46022</v>
      </c>
      <c r="Z212" s="72" t="s">
        <v>319</v>
      </c>
      <c r="AA212" s="60"/>
      <c r="AB212" s="131"/>
      <c r="AC212" s="56" t="s">
        <v>1234</v>
      </c>
      <c r="AD212" s="34"/>
      <c r="AE212" s="34"/>
      <c r="AF212" s="35"/>
      <c r="AG212" s="36" t="s">
        <v>1536</v>
      </c>
      <c r="AH212" s="63">
        <v>2025</v>
      </c>
    </row>
    <row r="213" spans="1:34" ht="43.5" x14ac:dyDescent="0.35">
      <c r="A213" s="55" t="s">
        <v>330</v>
      </c>
      <c r="B213" s="2" t="s">
        <v>11</v>
      </c>
      <c r="C213" s="30" t="s">
        <v>18</v>
      </c>
      <c r="D213" s="2" t="s">
        <v>313</v>
      </c>
      <c r="E213" s="96" t="s">
        <v>1233</v>
      </c>
      <c r="F213" s="70">
        <v>45747</v>
      </c>
      <c r="G213" s="30" t="s">
        <v>150</v>
      </c>
      <c r="H213" s="94" t="s">
        <v>1238</v>
      </c>
      <c r="I213" s="111">
        <v>18400000</v>
      </c>
      <c r="J213" s="101">
        <v>0</v>
      </c>
      <c r="K213" s="47">
        <v>18400000</v>
      </c>
      <c r="L213" s="77" t="s">
        <v>96</v>
      </c>
      <c r="M213" s="54">
        <v>1314294</v>
      </c>
      <c r="N213" s="30"/>
      <c r="O213" s="2" t="s">
        <v>1237</v>
      </c>
      <c r="P213" s="73" t="s">
        <v>318</v>
      </c>
      <c r="Q213" s="3"/>
      <c r="R213" s="32">
        <f>+Tabla1513[[#This Row],[VALOR INICIAL DEL CONTRATO CON IVA]]+Tabla1513[[#This Row],[VALOR DE LAS ADICIONES CON IVA]]</f>
        <v>18400000</v>
      </c>
      <c r="S213" s="48">
        <f>+Tabla1513[[#This Row],[FECHA TERMINACIÓN INICIAL CONTRATO]]-Tabla1513[[#This Row],[FECHA INICIO CONTRATO]]</f>
        <v>244</v>
      </c>
      <c r="T213" s="24" t="s">
        <v>318</v>
      </c>
      <c r="U213" s="4"/>
      <c r="V213" s="24" t="s">
        <v>318</v>
      </c>
      <c r="W213" s="70">
        <v>45747</v>
      </c>
      <c r="X213" s="70">
        <v>45991</v>
      </c>
      <c r="Y213" s="70">
        <v>45991</v>
      </c>
      <c r="Z213" s="72" t="s">
        <v>319</v>
      </c>
      <c r="AA213" s="60"/>
      <c r="AB213" s="131"/>
      <c r="AC213" s="56" t="s">
        <v>1063</v>
      </c>
      <c r="AD213" s="34"/>
      <c r="AE213" s="34"/>
      <c r="AF213" s="35"/>
      <c r="AG213" s="36" t="s">
        <v>1537</v>
      </c>
      <c r="AH213" s="63">
        <v>2025</v>
      </c>
    </row>
    <row r="214" spans="1:34" ht="72.5" x14ac:dyDescent="0.35">
      <c r="A214" s="55" t="s">
        <v>330</v>
      </c>
      <c r="B214" s="2" t="s">
        <v>31</v>
      </c>
      <c r="C214" s="30" t="s">
        <v>1259</v>
      </c>
      <c r="D214" s="2" t="s">
        <v>313</v>
      </c>
      <c r="E214" s="96" t="s">
        <v>1258</v>
      </c>
      <c r="F214" s="70">
        <v>45748</v>
      </c>
      <c r="G214" s="30" t="s">
        <v>150</v>
      </c>
      <c r="H214" s="94" t="s">
        <v>1260</v>
      </c>
      <c r="I214" s="111">
        <v>22500000</v>
      </c>
      <c r="J214" s="101">
        <v>0</v>
      </c>
      <c r="K214" s="47">
        <v>22500000</v>
      </c>
      <c r="L214" s="77" t="s">
        <v>96</v>
      </c>
      <c r="M214" s="54">
        <v>1013666895</v>
      </c>
      <c r="N214" s="30"/>
      <c r="O214" s="2" t="s">
        <v>1261</v>
      </c>
      <c r="P214" s="73" t="s">
        <v>318</v>
      </c>
      <c r="Q214" s="3"/>
      <c r="R214" s="32">
        <f>+Tabla1513[[#This Row],[VALOR INICIAL DEL CONTRATO CON IVA]]+Tabla1513[[#This Row],[VALOR DE LAS ADICIONES CON IVA]]</f>
        <v>22500000</v>
      </c>
      <c r="S214" s="48">
        <f>+Tabla1513[[#This Row],[FECHA TERMINACIÓN INICIAL CONTRATO]]-Tabla1513[[#This Row],[FECHA INICIO CONTRATO]]</f>
        <v>274</v>
      </c>
      <c r="T214" s="24" t="s">
        <v>318</v>
      </c>
      <c r="U214" s="4"/>
      <c r="V214" s="24" t="s">
        <v>318</v>
      </c>
      <c r="W214" s="70">
        <v>45748</v>
      </c>
      <c r="X214" s="70">
        <v>46022</v>
      </c>
      <c r="Y214" s="70">
        <v>46022</v>
      </c>
      <c r="Z214" s="72" t="s">
        <v>319</v>
      </c>
      <c r="AA214" s="60"/>
      <c r="AB214" s="131"/>
      <c r="AC214" s="56" t="s">
        <v>434</v>
      </c>
      <c r="AD214" s="34"/>
      <c r="AE214" s="34"/>
      <c r="AF214" s="35"/>
      <c r="AG214" s="90" t="s">
        <v>1365</v>
      </c>
      <c r="AH214" s="63">
        <v>2025</v>
      </c>
    </row>
    <row r="215" spans="1:34" ht="29" x14ac:dyDescent="0.35">
      <c r="A215" s="55" t="s">
        <v>330</v>
      </c>
      <c r="B215" s="2" t="s">
        <v>422</v>
      </c>
      <c r="C215" s="30" t="s">
        <v>45</v>
      </c>
      <c r="D215" s="2" t="s">
        <v>313</v>
      </c>
      <c r="E215" s="96" t="s">
        <v>1262</v>
      </c>
      <c r="F215" s="70">
        <v>45751</v>
      </c>
      <c r="G215" s="30" t="s">
        <v>150</v>
      </c>
      <c r="H215" s="94" t="s">
        <v>1263</v>
      </c>
      <c r="I215" s="111">
        <v>6000000</v>
      </c>
      <c r="J215" s="101">
        <v>0</v>
      </c>
      <c r="K215" s="47">
        <v>6000000</v>
      </c>
      <c r="L215" s="77" t="s">
        <v>84</v>
      </c>
      <c r="M215" s="54">
        <v>72079475</v>
      </c>
      <c r="N215" s="30"/>
      <c r="O215" s="2" t="s">
        <v>554</v>
      </c>
      <c r="P215" s="73" t="s">
        <v>318</v>
      </c>
      <c r="Q215" s="3"/>
      <c r="R215" s="32">
        <f>+Tabla1513[[#This Row],[VALOR INICIAL DEL CONTRATO CON IVA]]+Tabla1513[[#This Row],[VALOR DE LAS ADICIONES CON IVA]]</f>
        <v>6000000</v>
      </c>
      <c r="S215" s="48">
        <f>+Tabla1513[[#This Row],[FECHA TERMINACIÓN INICIAL CONTRATO]]-Tabla1513[[#This Row],[FECHA INICIO CONTRATO]]</f>
        <v>361</v>
      </c>
      <c r="T215" s="24" t="s">
        <v>318</v>
      </c>
      <c r="U215" s="4"/>
      <c r="V215" s="24" t="s">
        <v>318</v>
      </c>
      <c r="W215" s="70">
        <v>45751</v>
      </c>
      <c r="X215" s="70">
        <v>46112</v>
      </c>
      <c r="Y215" s="70">
        <v>46112</v>
      </c>
      <c r="Z215" s="72" t="s">
        <v>319</v>
      </c>
      <c r="AA215" s="60"/>
      <c r="AB215" s="131"/>
      <c r="AC215" s="56" t="s">
        <v>424</v>
      </c>
      <c r="AD215" s="34"/>
      <c r="AE215" s="34"/>
      <c r="AF215" s="35"/>
      <c r="AG215" s="90" t="s">
        <v>1676</v>
      </c>
      <c r="AH215" s="63">
        <v>2025</v>
      </c>
    </row>
    <row r="216" spans="1:34" ht="29" x14ac:dyDescent="0.35">
      <c r="A216" s="55" t="s">
        <v>330</v>
      </c>
      <c r="B216" s="2" t="s">
        <v>473</v>
      </c>
      <c r="C216" s="30" t="s">
        <v>63</v>
      </c>
      <c r="D216" s="2" t="s">
        <v>313</v>
      </c>
      <c r="E216" s="96" t="s">
        <v>1264</v>
      </c>
      <c r="F216" s="70">
        <v>45755</v>
      </c>
      <c r="G216" s="30" t="s">
        <v>150</v>
      </c>
      <c r="H216" s="94" t="s">
        <v>1265</v>
      </c>
      <c r="I216" s="111">
        <v>50400000</v>
      </c>
      <c r="J216" s="101">
        <v>0</v>
      </c>
      <c r="K216" s="47">
        <v>50400000</v>
      </c>
      <c r="L216" s="77" t="s">
        <v>96</v>
      </c>
      <c r="M216" s="54">
        <v>1067966761</v>
      </c>
      <c r="N216" s="30"/>
      <c r="O216" s="2" t="s">
        <v>1266</v>
      </c>
      <c r="P216" s="73" t="s">
        <v>317</v>
      </c>
      <c r="Q216" s="3">
        <v>9576000</v>
      </c>
      <c r="R216" s="32">
        <f>+Tabla1513[[#This Row],[VALOR INICIAL DEL CONTRATO CON IVA]]+Tabla1513[[#This Row],[VALOR DE LAS ADICIONES CON IVA]]</f>
        <v>59976000</v>
      </c>
      <c r="S216" s="48">
        <f>+Tabla1513[[#This Row],[FECHA TERMINACIÓN INICIAL CONTRATO]]-Tabla1513[[#This Row],[FECHA INICIO CONTRATO]]</f>
        <v>265</v>
      </c>
      <c r="T216" s="24" t="s">
        <v>318</v>
      </c>
      <c r="U216" s="4"/>
      <c r="V216" s="24" t="s">
        <v>318</v>
      </c>
      <c r="W216" s="70">
        <v>45757</v>
      </c>
      <c r="X216" s="70">
        <v>46022</v>
      </c>
      <c r="Y216" s="70">
        <v>46022</v>
      </c>
      <c r="Z216" s="72" t="s">
        <v>319</v>
      </c>
      <c r="AA216" s="60"/>
      <c r="AB216" s="131"/>
      <c r="AC216" s="56" t="s">
        <v>415</v>
      </c>
      <c r="AD216" s="34">
        <v>0.63329999999999997</v>
      </c>
      <c r="AE216" s="34">
        <v>0.63329999999999997</v>
      </c>
      <c r="AF216" s="35">
        <v>0</v>
      </c>
      <c r="AG216" s="90" t="s">
        <v>1648</v>
      </c>
      <c r="AH216" s="63">
        <v>2025</v>
      </c>
    </row>
    <row r="217" spans="1:34" ht="29" x14ac:dyDescent="0.35">
      <c r="A217" s="55" t="s">
        <v>330</v>
      </c>
      <c r="B217" s="2" t="s">
        <v>11</v>
      </c>
      <c r="C217" s="30" t="s">
        <v>12</v>
      </c>
      <c r="D217" s="2" t="s">
        <v>313</v>
      </c>
      <c r="E217" s="96" t="s">
        <v>1267</v>
      </c>
      <c r="F217" s="70">
        <v>45756</v>
      </c>
      <c r="G217" s="30" t="s">
        <v>150</v>
      </c>
      <c r="H217" s="94" t="s">
        <v>1269</v>
      </c>
      <c r="I217" s="111">
        <v>302472979</v>
      </c>
      <c r="J217" s="101">
        <v>57469866</v>
      </c>
      <c r="K217" s="47">
        <v>359942845</v>
      </c>
      <c r="L217" s="77" t="s">
        <v>84</v>
      </c>
      <c r="M217" s="54">
        <v>900517262</v>
      </c>
      <c r="N217" s="30" t="s">
        <v>120</v>
      </c>
      <c r="O217" s="2" t="s">
        <v>1270</v>
      </c>
      <c r="P217" s="73" t="s">
        <v>318</v>
      </c>
      <c r="Q217" s="3"/>
      <c r="R217" s="32">
        <f>+Tabla1513[[#This Row],[VALOR INICIAL DEL CONTRATO CON IVA]]+Tabla1513[[#This Row],[VALOR DE LAS ADICIONES CON IVA]]</f>
        <v>359942845</v>
      </c>
      <c r="S217" s="48">
        <f>+Tabla1513[[#This Row],[FECHA TERMINACIÓN INICIAL CONTRATO]]-Tabla1513[[#This Row],[FECHA INICIO CONTRATO]]</f>
        <v>730</v>
      </c>
      <c r="T217" s="24" t="s">
        <v>318</v>
      </c>
      <c r="U217" s="4"/>
      <c r="V217" s="24" t="s">
        <v>318</v>
      </c>
      <c r="W217" s="70">
        <v>45756</v>
      </c>
      <c r="X217" s="70">
        <v>46486</v>
      </c>
      <c r="Y217" s="70">
        <v>46486</v>
      </c>
      <c r="Z217" s="72" t="s">
        <v>319</v>
      </c>
      <c r="AA217" s="60"/>
      <c r="AB217" s="131"/>
      <c r="AC217" s="56" t="s">
        <v>434</v>
      </c>
      <c r="AD217" s="34"/>
      <c r="AE217" s="34"/>
      <c r="AF217" s="35"/>
      <c r="AG217" s="36" t="s">
        <v>1623</v>
      </c>
      <c r="AH217" s="63">
        <v>2025</v>
      </c>
    </row>
    <row r="218" spans="1:34" ht="29" x14ac:dyDescent="0.35">
      <c r="A218" s="55" t="s">
        <v>330</v>
      </c>
      <c r="B218" s="2" t="s">
        <v>473</v>
      </c>
      <c r="C218" s="30" t="s">
        <v>63</v>
      </c>
      <c r="D218" s="2" t="s">
        <v>313</v>
      </c>
      <c r="E218" s="96" t="s">
        <v>1268</v>
      </c>
      <c r="F218" s="70">
        <v>45758</v>
      </c>
      <c r="G218" s="30" t="s">
        <v>150</v>
      </c>
      <c r="H218" s="94" t="s">
        <v>909</v>
      </c>
      <c r="I218" s="111">
        <v>150000000</v>
      </c>
      <c r="J218" s="101">
        <v>28500000</v>
      </c>
      <c r="K218" s="47">
        <v>178500000</v>
      </c>
      <c r="L218" s="77" t="s">
        <v>84</v>
      </c>
      <c r="M218" s="54">
        <v>900916235</v>
      </c>
      <c r="N218" s="30" t="s">
        <v>85</v>
      </c>
      <c r="O218" s="2" t="s">
        <v>1271</v>
      </c>
      <c r="P218" s="73" t="s">
        <v>318</v>
      </c>
      <c r="Q218" s="3"/>
      <c r="R218" s="32">
        <f>+Tabla1513[[#This Row],[VALOR INICIAL DEL CONTRATO CON IVA]]+Tabla1513[[#This Row],[VALOR DE LAS ADICIONES CON IVA]]</f>
        <v>178500000</v>
      </c>
      <c r="S218" s="48">
        <f>+Tabla1513[[#This Row],[FECHA TERMINACIÓN INICIAL CONTRATO]]-Tabla1513[[#This Row],[FECHA INICIO CONTRATO]]</f>
        <v>364</v>
      </c>
      <c r="T218" s="24" t="s">
        <v>318</v>
      </c>
      <c r="U218" s="4"/>
      <c r="V218" s="24" t="s">
        <v>318</v>
      </c>
      <c r="W218" s="70">
        <v>45762</v>
      </c>
      <c r="X218" s="70">
        <v>46126</v>
      </c>
      <c r="Y218" s="70">
        <v>46126</v>
      </c>
      <c r="Z218" s="72" t="s">
        <v>319</v>
      </c>
      <c r="AA218" s="60"/>
      <c r="AB218" s="131"/>
      <c r="AC218" s="56" t="s">
        <v>312</v>
      </c>
      <c r="AD218" s="34"/>
      <c r="AE218" s="34"/>
      <c r="AF218" s="35"/>
      <c r="AG218" s="90" t="s">
        <v>1459</v>
      </c>
      <c r="AH218" s="63">
        <v>2025</v>
      </c>
    </row>
    <row r="219" spans="1:34" ht="29" x14ac:dyDescent="0.35">
      <c r="A219" s="55" t="s">
        <v>330</v>
      </c>
      <c r="B219" s="2" t="s">
        <v>473</v>
      </c>
      <c r="C219" s="30" t="s">
        <v>63</v>
      </c>
      <c r="D219" s="2" t="s">
        <v>313</v>
      </c>
      <c r="E219" s="96" t="s">
        <v>1272</v>
      </c>
      <c r="F219" s="70">
        <v>45758</v>
      </c>
      <c r="G219" s="30" t="s">
        <v>150</v>
      </c>
      <c r="H219" s="94" t="s">
        <v>909</v>
      </c>
      <c r="I219" s="111">
        <v>150000000</v>
      </c>
      <c r="J219" s="101">
        <v>28500000</v>
      </c>
      <c r="K219" s="47">
        <v>178500000</v>
      </c>
      <c r="L219" s="77" t="s">
        <v>84</v>
      </c>
      <c r="M219" s="54">
        <v>901018879</v>
      </c>
      <c r="N219" s="30" t="s">
        <v>108</v>
      </c>
      <c r="O219" s="2" t="s">
        <v>762</v>
      </c>
      <c r="P219" s="73" t="s">
        <v>318</v>
      </c>
      <c r="Q219" s="3"/>
      <c r="R219" s="32">
        <f>+Tabla1513[[#This Row],[VALOR INICIAL DEL CONTRATO CON IVA]]+Tabla1513[[#This Row],[VALOR DE LAS ADICIONES CON IVA]]</f>
        <v>178500000</v>
      </c>
      <c r="S219" s="48">
        <f>+Tabla1513[[#This Row],[FECHA TERMINACIÓN INICIAL CONTRATO]]-Tabla1513[[#This Row],[FECHA INICIO CONTRATO]]</f>
        <v>364</v>
      </c>
      <c r="T219" s="24" t="s">
        <v>318</v>
      </c>
      <c r="U219" s="4"/>
      <c r="V219" s="24" t="s">
        <v>318</v>
      </c>
      <c r="W219" s="70">
        <v>45768</v>
      </c>
      <c r="X219" s="70">
        <v>46132</v>
      </c>
      <c r="Y219" s="70">
        <v>46132</v>
      </c>
      <c r="Z219" s="72" t="s">
        <v>319</v>
      </c>
      <c r="AA219" s="60"/>
      <c r="AB219" s="131"/>
      <c r="AC219" s="56" t="s">
        <v>312</v>
      </c>
      <c r="AD219" s="34"/>
      <c r="AE219" s="34"/>
      <c r="AF219" s="35"/>
      <c r="AG219" s="90" t="s">
        <v>1649</v>
      </c>
      <c r="AH219" s="63">
        <v>2025</v>
      </c>
    </row>
    <row r="220" spans="1:34" ht="29" x14ac:dyDescent="0.35">
      <c r="A220" s="55" t="s">
        <v>330</v>
      </c>
      <c r="B220" s="2" t="s">
        <v>473</v>
      </c>
      <c r="C220" s="30" t="s">
        <v>63</v>
      </c>
      <c r="D220" s="2" t="s">
        <v>313</v>
      </c>
      <c r="E220" s="96" t="s">
        <v>1273</v>
      </c>
      <c r="F220" s="70">
        <v>45758</v>
      </c>
      <c r="G220" s="30" t="s">
        <v>150</v>
      </c>
      <c r="H220" s="94" t="s">
        <v>909</v>
      </c>
      <c r="I220" s="111">
        <v>150000000</v>
      </c>
      <c r="J220" s="101">
        <v>28500000</v>
      </c>
      <c r="K220" s="47">
        <v>178500000</v>
      </c>
      <c r="L220" s="77" t="s">
        <v>84</v>
      </c>
      <c r="M220" s="54">
        <v>901093643</v>
      </c>
      <c r="N220" s="30" t="s">
        <v>97</v>
      </c>
      <c r="O220" s="2" t="s">
        <v>764</v>
      </c>
      <c r="P220" s="73" t="s">
        <v>318</v>
      </c>
      <c r="Q220" s="3"/>
      <c r="R220" s="32">
        <f>+Tabla1513[[#This Row],[VALOR INICIAL DEL CONTRATO CON IVA]]+Tabla1513[[#This Row],[VALOR DE LAS ADICIONES CON IVA]]</f>
        <v>178500000</v>
      </c>
      <c r="S220" s="48">
        <f>+Tabla1513[[#This Row],[FECHA TERMINACIÓN INICIAL CONTRATO]]-Tabla1513[[#This Row],[FECHA INICIO CONTRATO]]</f>
        <v>364</v>
      </c>
      <c r="T220" s="24" t="s">
        <v>318</v>
      </c>
      <c r="U220" s="4"/>
      <c r="V220" s="24" t="s">
        <v>318</v>
      </c>
      <c r="W220" s="70">
        <v>45762</v>
      </c>
      <c r="X220" s="70">
        <v>46126</v>
      </c>
      <c r="Y220" s="70">
        <v>46126</v>
      </c>
      <c r="Z220" s="72" t="s">
        <v>319</v>
      </c>
      <c r="AA220" s="60"/>
      <c r="AB220" s="131"/>
      <c r="AC220" s="56" t="s">
        <v>312</v>
      </c>
      <c r="AD220" s="34"/>
      <c r="AE220" s="34"/>
      <c r="AF220" s="35"/>
      <c r="AG220" s="90" t="s">
        <v>1650</v>
      </c>
      <c r="AH220" s="63">
        <v>2025</v>
      </c>
    </row>
    <row r="221" spans="1:34" ht="29" x14ac:dyDescent="0.35">
      <c r="A221" s="55" t="s">
        <v>330</v>
      </c>
      <c r="B221" s="2" t="s">
        <v>473</v>
      </c>
      <c r="C221" s="30" t="s">
        <v>63</v>
      </c>
      <c r="D221" s="2" t="s">
        <v>313</v>
      </c>
      <c r="E221" s="96" t="s">
        <v>1274</v>
      </c>
      <c r="F221" s="70">
        <v>45758</v>
      </c>
      <c r="G221" s="30" t="s">
        <v>150</v>
      </c>
      <c r="H221" s="94" t="s">
        <v>909</v>
      </c>
      <c r="I221" s="111">
        <v>150000000</v>
      </c>
      <c r="J221" s="101">
        <v>28500000</v>
      </c>
      <c r="K221" s="47">
        <v>178500000</v>
      </c>
      <c r="L221" s="77" t="s">
        <v>84</v>
      </c>
      <c r="M221" s="54">
        <v>900891017</v>
      </c>
      <c r="N221" s="30" t="s">
        <v>91</v>
      </c>
      <c r="O221" s="2" t="s">
        <v>1275</v>
      </c>
      <c r="P221" s="73" t="s">
        <v>318</v>
      </c>
      <c r="Q221" s="3"/>
      <c r="R221" s="32">
        <f>+Tabla1513[[#This Row],[VALOR INICIAL DEL CONTRATO CON IVA]]+Tabla1513[[#This Row],[VALOR DE LAS ADICIONES CON IVA]]</f>
        <v>178500000</v>
      </c>
      <c r="S221" s="48">
        <f>+Tabla1513[[#This Row],[FECHA TERMINACIÓN INICIAL CONTRATO]]-Tabla1513[[#This Row],[FECHA INICIO CONTRATO]]</f>
        <v>364</v>
      </c>
      <c r="T221" s="24" t="s">
        <v>318</v>
      </c>
      <c r="U221" s="4"/>
      <c r="V221" s="24" t="s">
        <v>318</v>
      </c>
      <c r="W221" s="70">
        <v>45762</v>
      </c>
      <c r="X221" s="70">
        <v>46126</v>
      </c>
      <c r="Y221" s="70">
        <v>46126</v>
      </c>
      <c r="Z221" s="72" t="s">
        <v>319</v>
      </c>
      <c r="AA221" s="60"/>
      <c r="AB221" s="131"/>
      <c r="AC221" s="56" t="s">
        <v>312</v>
      </c>
      <c r="AD221" s="34"/>
      <c r="AE221" s="34"/>
      <c r="AF221" s="35"/>
      <c r="AG221" s="90" t="s">
        <v>1538</v>
      </c>
      <c r="AH221" s="63">
        <v>2025</v>
      </c>
    </row>
    <row r="222" spans="1:34" ht="43.5" x14ac:dyDescent="0.35">
      <c r="A222" s="55" t="s">
        <v>330</v>
      </c>
      <c r="B222" s="2" t="s">
        <v>473</v>
      </c>
      <c r="C222" s="30" t="s">
        <v>63</v>
      </c>
      <c r="D222" s="2" t="s">
        <v>313</v>
      </c>
      <c r="E222" s="96" t="s">
        <v>1276</v>
      </c>
      <c r="F222" s="70">
        <v>45758</v>
      </c>
      <c r="G222" s="30" t="s">
        <v>150</v>
      </c>
      <c r="H222" s="94" t="s">
        <v>909</v>
      </c>
      <c r="I222" s="111">
        <v>150000000</v>
      </c>
      <c r="J222" s="101">
        <v>28500000</v>
      </c>
      <c r="K222" s="47">
        <v>178500000</v>
      </c>
      <c r="L222" s="77" t="s">
        <v>84</v>
      </c>
      <c r="M222" s="54">
        <v>901259028</v>
      </c>
      <c r="N222" s="30" t="s">
        <v>117</v>
      </c>
      <c r="O222" s="2" t="s">
        <v>766</v>
      </c>
      <c r="P222" s="73" t="s">
        <v>318</v>
      </c>
      <c r="Q222" s="3"/>
      <c r="R222" s="32">
        <f>+Tabla1513[[#This Row],[VALOR INICIAL DEL CONTRATO CON IVA]]+Tabla1513[[#This Row],[VALOR DE LAS ADICIONES CON IVA]]</f>
        <v>178500000</v>
      </c>
      <c r="S222" s="48">
        <f>+Tabla1513[[#This Row],[FECHA TERMINACIÓN INICIAL CONTRATO]]-Tabla1513[[#This Row],[FECHA INICIO CONTRATO]]</f>
        <v>364</v>
      </c>
      <c r="T222" s="24" t="s">
        <v>318</v>
      </c>
      <c r="U222" s="4"/>
      <c r="V222" s="24" t="s">
        <v>318</v>
      </c>
      <c r="W222" s="70">
        <v>45768</v>
      </c>
      <c r="X222" s="70">
        <v>46132</v>
      </c>
      <c r="Y222" s="70">
        <v>46132</v>
      </c>
      <c r="Z222" s="72" t="s">
        <v>319</v>
      </c>
      <c r="AA222" s="60"/>
      <c r="AB222" s="131"/>
      <c r="AC222" s="56" t="s">
        <v>312</v>
      </c>
      <c r="AD222" s="34"/>
      <c r="AE222" s="34"/>
      <c r="AF222" s="35"/>
      <c r="AG222" s="90" t="s">
        <v>1539</v>
      </c>
      <c r="AH222" s="63">
        <v>2025</v>
      </c>
    </row>
    <row r="223" spans="1:34" ht="29" x14ac:dyDescent="0.35">
      <c r="A223" s="55" t="s">
        <v>330</v>
      </c>
      <c r="B223" s="2" t="s">
        <v>473</v>
      </c>
      <c r="C223" s="30" t="s">
        <v>63</v>
      </c>
      <c r="D223" s="2" t="s">
        <v>313</v>
      </c>
      <c r="E223" s="96" t="s">
        <v>1277</v>
      </c>
      <c r="F223" s="70">
        <v>45758</v>
      </c>
      <c r="G223" s="30" t="s">
        <v>150</v>
      </c>
      <c r="H223" s="94" t="s">
        <v>909</v>
      </c>
      <c r="I223" s="111">
        <v>150000000</v>
      </c>
      <c r="J223" s="101">
        <v>28500000</v>
      </c>
      <c r="K223" s="47">
        <v>178500000</v>
      </c>
      <c r="L223" s="77" t="s">
        <v>84</v>
      </c>
      <c r="M223" s="54">
        <v>900999868</v>
      </c>
      <c r="N223" s="30" t="s">
        <v>120</v>
      </c>
      <c r="O223" s="2" t="s">
        <v>1278</v>
      </c>
      <c r="P223" s="73" t="s">
        <v>318</v>
      </c>
      <c r="Q223" s="3"/>
      <c r="R223" s="32">
        <f>+Tabla1513[[#This Row],[VALOR INICIAL DEL CONTRATO CON IVA]]+Tabla1513[[#This Row],[VALOR DE LAS ADICIONES CON IVA]]</f>
        <v>178500000</v>
      </c>
      <c r="S223" s="48">
        <f>+Tabla1513[[#This Row],[FECHA TERMINACIÓN INICIAL CONTRATO]]-Tabla1513[[#This Row],[FECHA INICIO CONTRATO]]</f>
        <v>364</v>
      </c>
      <c r="T223" s="24" t="s">
        <v>318</v>
      </c>
      <c r="U223" s="4"/>
      <c r="V223" s="24" t="s">
        <v>318</v>
      </c>
      <c r="W223" s="70">
        <v>45758</v>
      </c>
      <c r="X223" s="70">
        <v>46122</v>
      </c>
      <c r="Y223" s="70">
        <v>46122</v>
      </c>
      <c r="Z223" s="72" t="s">
        <v>319</v>
      </c>
      <c r="AA223" s="60"/>
      <c r="AB223" s="131"/>
      <c r="AC223" s="56" t="s">
        <v>312</v>
      </c>
      <c r="AD223" s="34"/>
      <c r="AE223" s="34"/>
      <c r="AF223" s="35"/>
      <c r="AG223" s="36" t="s">
        <v>1651</v>
      </c>
      <c r="AH223" s="63">
        <v>2025</v>
      </c>
    </row>
    <row r="224" spans="1:34" ht="29" x14ac:dyDescent="0.35">
      <c r="A224" s="55" t="s">
        <v>330</v>
      </c>
      <c r="B224" s="2" t="s">
        <v>473</v>
      </c>
      <c r="C224" s="30" t="s">
        <v>63</v>
      </c>
      <c r="D224" s="2" t="s">
        <v>313</v>
      </c>
      <c r="E224" s="96" t="s">
        <v>1279</v>
      </c>
      <c r="F224" s="70">
        <v>45757</v>
      </c>
      <c r="G224" s="30" t="s">
        <v>150</v>
      </c>
      <c r="H224" s="94" t="s">
        <v>909</v>
      </c>
      <c r="I224" s="111">
        <v>150000000</v>
      </c>
      <c r="J224" s="101">
        <v>28500000</v>
      </c>
      <c r="K224" s="47">
        <v>178500000</v>
      </c>
      <c r="L224" s="77" t="s">
        <v>84</v>
      </c>
      <c r="M224" s="54">
        <v>901054232</v>
      </c>
      <c r="N224" s="30" t="s">
        <v>97</v>
      </c>
      <c r="O224" s="2" t="s">
        <v>765</v>
      </c>
      <c r="P224" s="73" t="s">
        <v>318</v>
      </c>
      <c r="Q224" s="3"/>
      <c r="R224" s="32">
        <f>+Tabla1513[[#This Row],[VALOR INICIAL DEL CONTRATO CON IVA]]+Tabla1513[[#This Row],[VALOR DE LAS ADICIONES CON IVA]]</f>
        <v>178500000</v>
      </c>
      <c r="S224" s="48">
        <f>+Tabla1513[[#This Row],[FECHA TERMINACIÓN INICIAL CONTRATO]]-Tabla1513[[#This Row],[FECHA INICIO CONTRATO]]</f>
        <v>364</v>
      </c>
      <c r="T224" s="24" t="s">
        <v>318</v>
      </c>
      <c r="U224" s="4"/>
      <c r="V224" s="24" t="s">
        <v>318</v>
      </c>
      <c r="W224" s="70">
        <v>45762</v>
      </c>
      <c r="X224" s="70">
        <v>46126</v>
      </c>
      <c r="Y224" s="70">
        <v>46126</v>
      </c>
      <c r="Z224" s="72" t="s">
        <v>319</v>
      </c>
      <c r="AA224" s="60"/>
      <c r="AB224" s="131"/>
      <c r="AC224" s="56" t="s">
        <v>312</v>
      </c>
      <c r="AD224" s="34"/>
      <c r="AE224" s="34"/>
      <c r="AF224" s="35"/>
      <c r="AG224" s="36" t="s">
        <v>1540</v>
      </c>
      <c r="AH224" s="63">
        <v>2025</v>
      </c>
    </row>
    <row r="225" spans="1:34" ht="29" x14ac:dyDescent="0.35">
      <c r="A225" s="55" t="s">
        <v>330</v>
      </c>
      <c r="B225" s="2" t="s">
        <v>473</v>
      </c>
      <c r="C225" s="30" t="s">
        <v>63</v>
      </c>
      <c r="D225" s="2" t="s">
        <v>313</v>
      </c>
      <c r="E225" s="96" t="s">
        <v>1280</v>
      </c>
      <c r="F225" s="70">
        <v>45757</v>
      </c>
      <c r="G225" s="30" t="s">
        <v>150</v>
      </c>
      <c r="H225" s="94" t="s">
        <v>909</v>
      </c>
      <c r="I225" s="111">
        <v>150000000</v>
      </c>
      <c r="J225" s="101">
        <v>28500000</v>
      </c>
      <c r="K225" s="47">
        <v>178500000</v>
      </c>
      <c r="L225" s="77" t="s">
        <v>84</v>
      </c>
      <c r="M225" s="54">
        <v>901439853</v>
      </c>
      <c r="N225" s="30" t="s">
        <v>91</v>
      </c>
      <c r="O225" s="2" t="s">
        <v>761</v>
      </c>
      <c r="P225" s="73" t="s">
        <v>318</v>
      </c>
      <c r="Q225" s="3"/>
      <c r="R225" s="32">
        <f>+Tabla1513[[#This Row],[VALOR INICIAL DEL CONTRATO CON IVA]]+Tabla1513[[#This Row],[VALOR DE LAS ADICIONES CON IVA]]</f>
        <v>178500000</v>
      </c>
      <c r="S225" s="48">
        <f>+Tabla1513[[#This Row],[FECHA TERMINACIÓN INICIAL CONTRATO]]-Tabla1513[[#This Row],[FECHA INICIO CONTRATO]]</f>
        <v>364</v>
      </c>
      <c r="T225" s="24" t="s">
        <v>318</v>
      </c>
      <c r="U225" s="4"/>
      <c r="V225" s="24" t="s">
        <v>318</v>
      </c>
      <c r="W225" s="70">
        <v>45766</v>
      </c>
      <c r="X225" s="70">
        <v>46130</v>
      </c>
      <c r="Y225" s="70">
        <v>46130</v>
      </c>
      <c r="Z225" s="72" t="s">
        <v>319</v>
      </c>
      <c r="AA225" s="60"/>
      <c r="AB225" s="131"/>
      <c r="AC225" s="56" t="s">
        <v>312</v>
      </c>
      <c r="AD225" s="34"/>
      <c r="AE225" s="34"/>
      <c r="AF225" s="35"/>
      <c r="AG225" s="36" t="s">
        <v>1460</v>
      </c>
      <c r="AH225" s="63">
        <v>2025</v>
      </c>
    </row>
    <row r="226" spans="1:34" ht="29" x14ac:dyDescent="0.35">
      <c r="A226" s="55" t="s">
        <v>330</v>
      </c>
      <c r="B226" s="2" t="s">
        <v>473</v>
      </c>
      <c r="C226" s="30" t="s">
        <v>63</v>
      </c>
      <c r="D226" s="2" t="s">
        <v>313</v>
      </c>
      <c r="E226" s="96" t="s">
        <v>1281</v>
      </c>
      <c r="F226" s="70">
        <v>45758</v>
      </c>
      <c r="G226" s="30" t="s">
        <v>150</v>
      </c>
      <c r="H226" s="94" t="s">
        <v>909</v>
      </c>
      <c r="I226" s="111">
        <v>150000000</v>
      </c>
      <c r="J226" s="101">
        <v>28500000</v>
      </c>
      <c r="K226" s="47">
        <v>178500000</v>
      </c>
      <c r="L226" s="77" t="s">
        <v>84</v>
      </c>
      <c r="M226" s="54">
        <v>901362437</v>
      </c>
      <c r="N226" s="30" t="s">
        <v>114</v>
      </c>
      <c r="O226" s="2" t="s">
        <v>763</v>
      </c>
      <c r="P226" s="73" t="s">
        <v>318</v>
      </c>
      <c r="Q226" s="3"/>
      <c r="R226" s="32">
        <f>+Tabla1513[[#This Row],[VALOR INICIAL DEL CONTRATO CON IVA]]+Tabla1513[[#This Row],[VALOR DE LAS ADICIONES CON IVA]]</f>
        <v>178500000</v>
      </c>
      <c r="S226" s="48">
        <f>+Tabla1513[[#This Row],[FECHA TERMINACIÓN INICIAL CONTRATO]]-Tabla1513[[#This Row],[FECHA INICIO CONTRATO]]</f>
        <v>364</v>
      </c>
      <c r="T226" s="24" t="s">
        <v>318</v>
      </c>
      <c r="U226" s="4"/>
      <c r="V226" s="24" t="s">
        <v>318</v>
      </c>
      <c r="W226" s="70">
        <v>45761</v>
      </c>
      <c r="X226" s="70">
        <v>46125</v>
      </c>
      <c r="Y226" s="70">
        <v>46125</v>
      </c>
      <c r="Z226" s="72" t="s">
        <v>319</v>
      </c>
      <c r="AA226" s="60"/>
      <c r="AB226" s="131"/>
      <c r="AC226" s="56" t="s">
        <v>312</v>
      </c>
      <c r="AD226" s="34"/>
      <c r="AE226" s="34"/>
      <c r="AF226" s="35"/>
      <c r="AG226" s="36" t="s">
        <v>1541</v>
      </c>
      <c r="AH226" s="63">
        <v>2025</v>
      </c>
    </row>
    <row r="227" spans="1:34" ht="29" x14ac:dyDescent="0.35">
      <c r="A227" s="55" t="s">
        <v>330</v>
      </c>
      <c r="B227" s="2" t="s">
        <v>473</v>
      </c>
      <c r="C227" s="30" t="s">
        <v>63</v>
      </c>
      <c r="D227" s="2" t="s">
        <v>313</v>
      </c>
      <c r="E227" s="96" t="s">
        <v>1282</v>
      </c>
      <c r="F227" s="70">
        <v>45757</v>
      </c>
      <c r="G227" s="30" t="s">
        <v>150</v>
      </c>
      <c r="H227" s="94" t="s">
        <v>909</v>
      </c>
      <c r="I227" s="111">
        <v>150000000</v>
      </c>
      <c r="J227" s="101">
        <v>28500000</v>
      </c>
      <c r="K227" s="47">
        <v>178500000</v>
      </c>
      <c r="L227" s="77" t="s">
        <v>84</v>
      </c>
      <c r="M227" s="54">
        <v>901656664</v>
      </c>
      <c r="N227" s="30" t="s">
        <v>108</v>
      </c>
      <c r="O227" s="2" t="s">
        <v>1283</v>
      </c>
      <c r="P227" s="73" t="s">
        <v>318</v>
      </c>
      <c r="Q227" s="3"/>
      <c r="R227" s="32">
        <f>+Tabla1513[[#This Row],[VALOR INICIAL DEL CONTRATO CON IVA]]+Tabla1513[[#This Row],[VALOR DE LAS ADICIONES CON IVA]]</f>
        <v>178500000</v>
      </c>
      <c r="S227" s="48">
        <f>+Tabla1513[[#This Row],[FECHA TERMINACIÓN INICIAL CONTRATO]]-Tabla1513[[#This Row],[FECHA INICIO CONTRATO]]</f>
        <v>364</v>
      </c>
      <c r="T227" s="24" t="s">
        <v>318</v>
      </c>
      <c r="U227" s="4"/>
      <c r="V227" s="24" t="s">
        <v>318</v>
      </c>
      <c r="W227" s="70">
        <v>45770</v>
      </c>
      <c r="X227" s="70">
        <v>46134</v>
      </c>
      <c r="Y227" s="70">
        <v>46134</v>
      </c>
      <c r="Z227" s="72" t="s">
        <v>319</v>
      </c>
      <c r="AA227" s="60"/>
      <c r="AB227" s="131"/>
      <c r="AC227" s="56" t="s">
        <v>312</v>
      </c>
      <c r="AD227" s="34"/>
      <c r="AE227" s="34"/>
      <c r="AF227" s="35"/>
      <c r="AG227" s="36" t="s">
        <v>1461</v>
      </c>
      <c r="AH227" s="63">
        <v>2025</v>
      </c>
    </row>
    <row r="228" spans="1:34" ht="29" x14ac:dyDescent="0.35">
      <c r="A228" s="55" t="s">
        <v>330</v>
      </c>
      <c r="B228" s="2" t="s">
        <v>473</v>
      </c>
      <c r="C228" s="30" t="s">
        <v>63</v>
      </c>
      <c r="D228" s="2" t="s">
        <v>313</v>
      </c>
      <c r="E228" s="96" t="s">
        <v>1284</v>
      </c>
      <c r="F228" s="70">
        <v>45758</v>
      </c>
      <c r="G228" s="30" t="s">
        <v>150</v>
      </c>
      <c r="H228" s="94" t="s">
        <v>909</v>
      </c>
      <c r="I228" s="111">
        <v>150000000</v>
      </c>
      <c r="J228" s="101">
        <v>28500000</v>
      </c>
      <c r="K228" s="47">
        <v>178500000</v>
      </c>
      <c r="L228" s="77" t="s">
        <v>84</v>
      </c>
      <c r="M228" s="54">
        <v>901414919</v>
      </c>
      <c r="N228" s="30" t="s">
        <v>123</v>
      </c>
      <c r="O228" s="2" t="s">
        <v>1285</v>
      </c>
      <c r="P228" s="73" t="s">
        <v>318</v>
      </c>
      <c r="Q228" s="3"/>
      <c r="R228" s="32">
        <f>+Tabla1513[[#This Row],[VALOR INICIAL DEL CONTRATO CON IVA]]+Tabla1513[[#This Row],[VALOR DE LAS ADICIONES CON IVA]]</f>
        <v>178500000</v>
      </c>
      <c r="S228" s="48">
        <f>+Tabla1513[[#This Row],[FECHA TERMINACIÓN INICIAL CONTRATO]]-Tabla1513[[#This Row],[FECHA INICIO CONTRATO]]</f>
        <v>364</v>
      </c>
      <c r="T228" s="24" t="s">
        <v>318</v>
      </c>
      <c r="U228" s="4"/>
      <c r="V228" s="24" t="s">
        <v>318</v>
      </c>
      <c r="W228" s="70">
        <v>45777</v>
      </c>
      <c r="X228" s="70">
        <v>46141</v>
      </c>
      <c r="Y228" s="70">
        <v>46141</v>
      </c>
      <c r="Z228" s="72" t="s">
        <v>319</v>
      </c>
      <c r="AA228" s="60"/>
      <c r="AB228" s="131"/>
      <c r="AC228" s="56" t="s">
        <v>312</v>
      </c>
      <c r="AD228" s="34"/>
      <c r="AE228" s="34"/>
      <c r="AF228" s="35"/>
      <c r="AG228" s="36" t="s">
        <v>1652</v>
      </c>
      <c r="AH228" s="63">
        <v>2025</v>
      </c>
    </row>
    <row r="229" spans="1:34" ht="29" x14ac:dyDescent="0.35">
      <c r="A229" s="55" t="s">
        <v>330</v>
      </c>
      <c r="B229" s="2" t="s">
        <v>473</v>
      </c>
      <c r="C229" s="30" t="s">
        <v>63</v>
      </c>
      <c r="D229" s="2" t="s">
        <v>313</v>
      </c>
      <c r="E229" s="96" t="s">
        <v>1286</v>
      </c>
      <c r="F229" s="70">
        <v>45758</v>
      </c>
      <c r="G229" s="30" t="s">
        <v>150</v>
      </c>
      <c r="H229" s="94" t="s">
        <v>909</v>
      </c>
      <c r="I229" s="111">
        <v>150000000</v>
      </c>
      <c r="J229" s="101">
        <v>28500000</v>
      </c>
      <c r="K229" s="47">
        <v>178500000</v>
      </c>
      <c r="L229" s="77" t="s">
        <v>84</v>
      </c>
      <c r="M229" s="54">
        <v>900363059</v>
      </c>
      <c r="N229" s="30" t="s">
        <v>114</v>
      </c>
      <c r="O229" s="2" t="s">
        <v>1288</v>
      </c>
      <c r="P229" s="73" t="s">
        <v>318</v>
      </c>
      <c r="Q229" s="3"/>
      <c r="R229" s="32">
        <f>+Tabla1513[[#This Row],[VALOR INICIAL DEL CONTRATO CON IVA]]+Tabla1513[[#This Row],[VALOR DE LAS ADICIONES CON IVA]]</f>
        <v>178500000</v>
      </c>
      <c r="S229" s="48">
        <f>+Tabla1513[[#This Row],[FECHA TERMINACIÓN INICIAL CONTRATO]]-Tabla1513[[#This Row],[FECHA INICIO CONTRATO]]</f>
        <v>364</v>
      </c>
      <c r="T229" s="24" t="s">
        <v>318</v>
      </c>
      <c r="U229" s="4"/>
      <c r="V229" s="24" t="s">
        <v>318</v>
      </c>
      <c r="W229" s="70">
        <v>45762</v>
      </c>
      <c r="X229" s="70">
        <v>46126</v>
      </c>
      <c r="Y229" s="70">
        <v>46126</v>
      </c>
      <c r="Z229" s="72" t="s">
        <v>319</v>
      </c>
      <c r="AA229" s="60"/>
      <c r="AB229" s="131"/>
      <c r="AC229" s="56" t="s">
        <v>312</v>
      </c>
      <c r="AD229" s="34"/>
      <c r="AE229" s="34"/>
      <c r="AF229" s="35"/>
      <c r="AG229" s="36" t="s">
        <v>1462</v>
      </c>
      <c r="AH229" s="63">
        <v>2025</v>
      </c>
    </row>
    <row r="230" spans="1:34" ht="43.5" x14ac:dyDescent="0.35">
      <c r="A230" s="55" t="s">
        <v>330</v>
      </c>
      <c r="B230" s="2" t="s">
        <v>11</v>
      </c>
      <c r="C230" s="30" t="s">
        <v>20</v>
      </c>
      <c r="D230" s="2" t="s">
        <v>313</v>
      </c>
      <c r="E230" s="96" t="s">
        <v>1287</v>
      </c>
      <c r="F230" s="70">
        <v>45762</v>
      </c>
      <c r="G230" s="30" t="s">
        <v>150</v>
      </c>
      <c r="H230" s="94" t="s">
        <v>1289</v>
      </c>
      <c r="I230" s="111">
        <v>1502761</v>
      </c>
      <c r="J230" s="101">
        <v>352500</v>
      </c>
      <c r="K230" s="47">
        <v>1855261</v>
      </c>
      <c r="L230" s="77" t="s">
        <v>84</v>
      </c>
      <c r="M230" s="54">
        <v>830061576</v>
      </c>
      <c r="N230" s="30" t="s">
        <v>97</v>
      </c>
      <c r="O230" s="2" t="s">
        <v>824</v>
      </c>
      <c r="P230" s="73" t="s">
        <v>318</v>
      </c>
      <c r="Q230" s="3"/>
      <c r="R230" s="32">
        <f>+Tabla1513[[#This Row],[VALOR INICIAL DEL CONTRATO CON IVA]]+Tabla1513[[#This Row],[VALOR DE LAS ADICIONES CON IVA]]</f>
        <v>1855261</v>
      </c>
      <c r="S230" s="48">
        <f>+Tabla1513[[#This Row],[FECHA TERMINACIÓN INICIAL CONTRATO]]-Tabla1513[[#This Row],[FECHA INICIO CONTRATO]]</f>
        <v>14</v>
      </c>
      <c r="T230" s="24" t="s">
        <v>318</v>
      </c>
      <c r="U230" s="4"/>
      <c r="V230" s="24" t="s">
        <v>318</v>
      </c>
      <c r="W230" s="70">
        <v>45768</v>
      </c>
      <c r="X230" s="70">
        <v>45782</v>
      </c>
      <c r="Y230" s="70">
        <v>45782</v>
      </c>
      <c r="Z230" s="72" t="s">
        <v>405</v>
      </c>
      <c r="AA230" s="60"/>
      <c r="AB230" s="60" t="s">
        <v>406</v>
      </c>
      <c r="AC230" s="56" t="s">
        <v>1314</v>
      </c>
      <c r="AD230" s="34"/>
      <c r="AE230" s="34"/>
      <c r="AF230" s="35"/>
      <c r="AG230" s="36" t="s">
        <v>1463</v>
      </c>
      <c r="AH230" s="63">
        <v>2025</v>
      </c>
    </row>
    <row r="231" spans="1:34" ht="43.5" x14ac:dyDescent="0.35">
      <c r="A231" s="55" t="s">
        <v>330</v>
      </c>
      <c r="B231" s="2" t="s">
        <v>11</v>
      </c>
      <c r="C231" s="30" t="s">
        <v>19</v>
      </c>
      <c r="D231" s="2" t="s">
        <v>313</v>
      </c>
      <c r="E231" s="96" t="s">
        <v>1290</v>
      </c>
      <c r="F231" s="70">
        <v>45768</v>
      </c>
      <c r="G231" s="30" t="s">
        <v>553</v>
      </c>
      <c r="H231" s="94" t="s">
        <v>1295</v>
      </c>
      <c r="I231" s="81">
        <v>6784998001</v>
      </c>
      <c r="J231" s="32">
        <v>0</v>
      </c>
      <c r="K231" s="47">
        <v>6784998001</v>
      </c>
      <c r="L231" s="77" t="s">
        <v>84</v>
      </c>
      <c r="M231" s="54">
        <v>900062917</v>
      </c>
      <c r="N231" s="30" t="s">
        <v>123</v>
      </c>
      <c r="O231" s="2" t="s">
        <v>1292</v>
      </c>
      <c r="P231" s="73" t="s">
        <v>318</v>
      </c>
      <c r="Q231" s="3"/>
      <c r="R231" s="32">
        <f>+Tabla1513[[#This Row],[VALOR INICIAL DEL CONTRATO CON IVA]]+Tabla1513[[#This Row],[VALOR DE LAS ADICIONES CON IVA]]</f>
        <v>6784998001</v>
      </c>
      <c r="S231" s="48">
        <f>+Tabla1513[[#This Row],[FECHA TERMINACIÓN INICIAL CONTRATO]]-Tabla1513[[#This Row],[FECHA INICIO CONTRATO]]</f>
        <v>1089</v>
      </c>
      <c r="T231" s="24" t="s">
        <v>318</v>
      </c>
      <c r="U231" s="4"/>
      <c r="V231" s="24" t="s">
        <v>318</v>
      </c>
      <c r="W231" s="70">
        <v>45776</v>
      </c>
      <c r="X231" s="70">
        <v>46865</v>
      </c>
      <c r="Y231" s="70">
        <v>46865</v>
      </c>
      <c r="Z231" s="72" t="s">
        <v>319</v>
      </c>
      <c r="AA231" s="60"/>
      <c r="AB231" s="131"/>
      <c r="AC231" s="56" t="s">
        <v>1315</v>
      </c>
      <c r="AD231" s="34"/>
      <c r="AE231" s="34"/>
      <c r="AF231" s="35"/>
      <c r="AG231" s="36" t="s">
        <v>1808</v>
      </c>
      <c r="AH231" s="63">
        <v>2025</v>
      </c>
    </row>
    <row r="232" spans="1:34" ht="43.5" x14ac:dyDescent="0.35">
      <c r="A232" s="55" t="s">
        <v>330</v>
      </c>
      <c r="B232" s="2" t="s">
        <v>31</v>
      </c>
      <c r="C232" s="30" t="s">
        <v>33</v>
      </c>
      <c r="D232" s="2" t="s">
        <v>714</v>
      </c>
      <c r="E232" s="96" t="s">
        <v>1291</v>
      </c>
      <c r="F232" s="70">
        <v>45768</v>
      </c>
      <c r="G232" s="30" t="s">
        <v>150</v>
      </c>
      <c r="H232" s="94" t="s">
        <v>1293</v>
      </c>
      <c r="I232" s="111">
        <v>5752440</v>
      </c>
      <c r="J232" s="101">
        <v>115555</v>
      </c>
      <c r="K232" s="47">
        <v>5867995</v>
      </c>
      <c r="L232" s="77" t="s">
        <v>84</v>
      </c>
      <c r="M232" s="54">
        <v>830040745</v>
      </c>
      <c r="N232" s="30" t="s">
        <v>85</v>
      </c>
      <c r="O232" s="2" t="s">
        <v>1294</v>
      </c>
      <c r="P232" s="73" t="s">
        <v>318</v>
      </c>
      <c r="Q232" s="3"/>
      <c r="R232" s="32">
        <f>+Tabla1513[[#This Row],[VALOR INICIAL DEL CONTRATO CON IVA]]+Tabla1513[[#This Row],[VALOR DE LAS ADICIONES CON IVA]]</f>
        <v>5867995</v>
      </c>
      <c r="S232" s="48">
        <f>+Tabla1513[[#This Row],[FECHA TERMINACIÓN INICIAL CONTRATO]]-Tabla1513[[#This Row],[FECHA INICIO CONTRATO]]</f>
        <v>60</v>
      </c>
      <c r="T232" s="24" t="s">
        <v>318</v>
      </c>
      <c r="U232" s="4"/>
      <c r="V232" s="24" t="s">
        <v>318</v>
      </c>
      <c r="W232" s="70">
        <v>45768</v>
      </c>
      <c r="X232" s="70">
        <v>45828</v>
      </c>
      <c r="Y232" s="70">
        <v>45828</v>
      </c>
      <c r="Z232" s="72" t="s">
        <v>405</v>
      </c>
      <c r="AA232" s="60"/>
      <c r="AB232" s="60" t="s">
        <v>406</v>
      </c>
      <c r="AC232" s="56" t="s">
        <v>434</v>
      </c>
      <c r="AD232" s="34"/>
      <c r="AE232" s="34"/>
      <c r="AF232" s="35"/>
      <c r="AG232" s="90" t="s">
        <v>1464</v>
      </c>
      <c r="AH232" s="63">
        <v>2025</v>
      </c>
    </row>
    <row r="233" spans="1:34" ht="43.5" x14ac:dyDescent="0.35">
      <c r="A233" s="55" t="s">
        <v>330</v>
      </c>
      <c r="B233" s="2" t="s">
        <v>310</v>
      </c>
      <c r="C233" s="30" t="s">
        <v>25</v>
      </c>
      <c r="D233" s="2" t="s">
        <v>313</v>
      </c>
      <c r="E233" s="96" t="s">
        <v>1296</v>
      </c>
      <c r="F233" s="70">
        <v>45768</v>
      </c>
      <c r="G233" s="30" t="s">
        <v>113</v>
      </c>
      <c r="H233" s="94" t="s">
        <v>1297</v>
      </c>
      <c r="I233" s="111">
        <v>31189255</v>
      </c>
      <c r="J233" s="101">
        <v>5925958</v>
      </c>
      <c r="K233" s="47">
        <v>37115213</v>
      </c>
      <c r="L233" s="77" t="s">
        <v>84</v>
      </c>
      <c r="M233" s="54">
        <v>800226923</v>
      </c>
      <c r="N233" s="30" t="s">
        <v>114</v>
      </c>
      <c r="O233" s="2" t="s">
        <v>743</v>
      </c>
      <c r="P233" s="73" t="s">
        <v>318</v>
      </c>
      <c r="Q233" s="3"/>
      <c r="R233" s="32">
        <f>+Tabla1513[[#This Row],[VALOR INICIAL DEL CONTRATO CON IVA]]+Tabla1513[[#This Row],[VALOR DE LAS ADICIONES CON IVA]]</f>
        <v>37115213</v>
      </c>
      <c r="S233" s="48">
        <f>+Tabla1513[[#This Row],[FECHA TERMINACIÓN INICIAL CONTRATO]]-Tabla1513[[#This Row],[FECHA INICIO CONTRATO]]</f>
        <v>29</v>
      </c>
      <c r="T233" s="24" t="s">
        <v>318</v>
      </c>
      <c r="U233" s="4"/>
      <c r="V233" s="24" t="s">
        <v>318</v>
      </c>
      <c r="W233" s="70">
        <v>45768</v>
      </c>
      <c r="X233" s="70">
        <v>45797</v>
      </c>
      <c r="Y233" s="70">
        <v>45797</v>
      </c>
      <c r="Z233" s="72" t="s">
        <v>405</v>
      </c>
      <c r="AA233" s="60"/>
      <c r="AB233" s="60" t="s">
        <v>406</v>
      </c>
      <c r="AC233" s="56" t="s">
        <v>1316</v>
      </c>
      <c r="AD233" s="34"/>
      <c r="AE233" s="34"/>
      <c r="AF233" s="35"/>
      <c r="AG233" s="90" t="s">
        <v>1653</v>
      </c>
      <c r="AH233" s="63">
        <v>2025</v>
      </c>
    </row>
    <row r="234" spans="1:34" ht="43.5" x14ac:dyDescent="0.35">
      <c r="A234" s="55" t="s">
        <v>330</v>
      </c>
      <c r="B234" s="2" t="s">
        <v>11</v>
      </c>
      <c r="C234" s="30" t="s">
        <v>20</v>
      </c>
      <c r="D234" s="2" t="s">
        <v>313</v>
      </c>
      <c r="E234" s="96" t="s">
        <v>1298</v>
      </c>
      <c r="F234" s="70">
        <v>45775</v>
      </c>
      <c r="G234" s="30" t="s">
        <v>150</v>
      </c>
      <c r="H234" s="94" t="s">
        <v>1299</v>
      </c>
      <c r="I234" s="111">
        <v>120786000</v>
      </c>
      <c r="J234" s="101">
        <v>22949340</v>
      </c>
      <c r="K234" s="47">
        <v>143735340</v>
      </c>
      <c r="L234" s="77" t="s">
        <v>84</v>
      </c>
      <c r="M234" s="54">
        <v>901538493</v>
      </c>
      <c r="N234" s="30" t="s">
        <v>114</v>
      </c>
      <c r="O234" s="2" t="s">
        <v>1300</v>
      </c>
      <c r="P234" s="73" t="s">
        <v>318</v>
      </c>
      <c r="Q234" s="3"/>
      <c r="R234" s="32">
        <f>+Tabla1513[[#This Row],[VALOR INICIAL DEL CONTRATO CON IVA]]+Tabla1513[[#This Row],[VALOR DE LAS ADICIONES CON IVA]]</f>
        <v>143735340</v>
      </c>
      <c r="S234" s="48">
        <f>+Tabla1513[[#This Row],[FECHA TERMINACIÓN INICIAL CONTRATO]]-Tabla1513[[#This Row],[FECHA INICIO CONTRATO]]</f>
        <v>60</v>
      </c>
      <c r="T234" s="24" t="s">
        <v>318</v>
      </c>
      <c r="U234" s="4"/>
      <c r="V234" s="24" t="s">
        <v>318</v>
      </c>
      <c r="W234" s="70">
        <v>45775</v>
      </c>
      <c r="X234" s="70">
        <v>45835</v>
      </c>
      <c r="Y234" s="70">
        <v>45835</v>
      </c>
      <c r="Z234" s="72" t="s">
        <v>411</v>
      </c>
      <c r="AA234" s="60">
        <v>45884</v>
      </c>
      <c r="AB234" s="60" t="s">
        <v>406</v>
      </c>
      <c r="AC234" s="56" t="s">
        <v>1317</v>
      </c>
      <c r="AD234" s="34">
        <v>1</v>
      </c>
      <c r="AE234" s="34">
        <v>1</v>
      </c>
      <c r="AF234" s="35">
        <v>143735340</v>
      </c>
      <c r="AG234" s="36" t="s">
        <v>1465</v>
      </c>
      <c r="AH234" s="63">
        <v>2025</v>
      </c>
    </row>
    <row r="235" spans="1:34" ht="43.5" x14ac:dyDescent="0.35">
      <c r="A235" s="55" t="s">
        <v>330</v>
      </c>
      <c r="B235" s="2" t="s">
        <v>11</v>
      </c>
      <c r="C235" s="30" t="s">
        <v>20</v>
      </c>
      <c r="D235" s="2" t="s">
        <v>313</v>
      </c>
      <c r="E235" s="96" t="s">
        <v>1301</v>
      </c>
      <c r="F235" s="70">
        <v>45775</v>
      </c>
      <c r="G235" s="30" t="s">
        <v>150</v>
      </c>
      <c r="H235" s="94" t="s">
        <v>1303</v>
      </c>
      <c r="I235" s="111">
        <v>700000000</v>
      </c>
      <c r="J235" s="101">
        <v>0</v>
      </c>
      <c r="K235" s="47">
        <v>700000000</v>
      </c>
      <c r="L235" s="77" t="s">
        <v>84</v>
      </c>
      <c r="M235" s="54">
        <v>860075558</v>
      </c>
      <c r="N235" s="30" t="s">
        <v>91</v>
      </c>
      <c r="O235" s="2" t="s">
        <v>546</v>
      </c>
      <c r="P235" s="73" t="s">
        <v>318</v>
      </c>
      <c r="Q235" s="3"/>
      <c r="R235" s="32">
        <f>+Tabla1513[[#This Row],[VALOR INICIAL DEL CONTRATO CON IVA]]+Tabla1513[[#This Row],[VALOR DE LAS ADICIONES CON IVA]]</f>
        <v>700000000</v>
      </c>
      <c r="S235" s="48">
        <f>+Tabla1513[[#This Row],[FECHA TERMINACIÓN INICIAL CONTRATO]]-Tabla1513[[#This Row],[FECHA INICIO CONTRATO]]</f>
        <v>597</v>
      </c>
      <c r="T235" s="24" t="s">
        <v>318</v>
      </c>
      <c r="U235" s="4"/>
      <c r="V235" s="24" t="s">
        <v>318</v>
      </c>
      <c r="W235" s="70">
        <v>45790</v>
      </c>
      <c r="X235" s="70">
        <v>46387</v>
      </c>
      <c r="Y235" s="70">
        <v>46387</v>
      </c>
      <c r="Z235" s="72" t="s">
        <v>319</v>
      </c>
      <c r="AA235" s="60"/>
      <c r="AB235" s="131"/>
      <c r="AC235" s="56" t="s">
        <v>1317</v>
      </c>
      <c r="AD235" s="34"/>
      <c r="AE235" s="34"/>
      <c r="AF235" s="35"/>
      <c r="AG235" s="36" t="s">
        <v>1542</v>
      </c>
      <c r="AH235" s="63">
        <v>2025</v>
      </c>
    </row>
    <row r="236" spans="1:34" ht="58" x14ac:dyDescent="0.35">
      <c r="A236" s="55" t="s">
        <v>330</v>
      </c>
      <c r="B236" s="2" t="s">
        <v>310</v>
      </c>
      <c r="C236" s="30" t="s">
        <v>869</v>
      </c>
      <c r="D236" s="2" t="s">
        <v>412</v>
      </c>
      <c r="E236" s="96" t="s">
        <v>1368</v>
      </c>
      <c r="F236" s="70">
        <v>45776</v>
      </c>
      <c r="G236" s="30" t="s">
        <v>150</v>
      </c>
      <c r="H236" s="94" t="s">
        <v>1406</v>
      </c>
      <c r="I236" s="111">
        <v>1255209605</v>
      </c>
      <c r="J236" s="101">
        <v>66776084</v>
      </c>
      <c r="K236" s="47">
        <v>1321985734</v>
      </c>
      <c r="L236" s="77" t="s">
        <v>84</v>
      </c>
      <c r="M236" s="54">
        <v>830128457</v>
      </c>
      <c r="N236" s="30" t="s">
        <v>108</v>
      </c>
      <c r="O236" s="2" t="s">
        <v>1407</v>
      </c>
      <c r="P236" s="73" t="s">
        <v>318</v>
      </c>
      <c r="Q236" s="3"/>
      <c r="R236" s="32">
        <f>+Tabla1513[[#This Row],[VALOR INICIAL DEL CONTRATO CON IVA]]+Tabla1513[[#This Row],[VALOR DE LAS ADICIONES CON IVA]]</f>
        <v>1321985734</v>
      </c>
      <c r="S236" s="48">
        <f>+Tabla1513[[#This Row],[FECHA TERMINACIÓN INICIAL CONTRATO]]-Tabla1513[[#This Row],[FECHA INICIO CONTRATO]]</f>
        <v>52</v>
      </c>
      <c r="T236" s="24" t="s">
        <v>318</v>
      </c>
      <c r="U236" s="4"/>
      <c r="V236" s="24" t="s">
        <v>318</v>
      </c>
      <c r="W236" s="70">
        <v>45786</v>
      </c>
      <c r="X236" s="70">
        <v>45838</v>
      </c>
      <c r="Y236" s="70">
        <v>45838</v>
      </c>
      <c r="Z236" s="72" t="s">
        <v>411</v>
      </c>
      <c r="AA236" s="60">
        <v>45897</v>
      </c>
      <c r="AB236" s="60" t="s">
        <v>406</v>
      </c>
      <c r="AC236" s="56" t="s">
        <v>1445</v>
      </c>
      <c r="AD236" s="34">
        <v>1</v>
      </c>
      <c r="AE236" s="34">
        <v>0.99</v>
      </c>
      <c r="AF236" s="35">
        <v>1310604093</v>
      </c>
      <c r="AG236" s="36" t="s">
        <v>1466</v>
      </c>
      <c r="AH236" s="63">
        <v>2025</v>
      </c>
    </row>
    <row r="237" spans="1:34" ht="43.5" x14ac:dyDescent="0.35">
      <c r="A237" s="55" t="s">
        <v>330</v>
      </c>
      <c r="B237" s="2" t="s">
        <v>11</v>
      </c>
      <c r="C237" s="30" t="s">
        <v>19</v>
      </c>
      <c r="D237" s="2" t="s">
        <v>412</v>
      </c>
      <c r="E237" s="96" t="s">
        <v>1369</v>
      </c>
      <c r="F237" s="70">
        <v>45777</v>
      </c>
      <c r="G237" s="30" t="s">
        <v>474</v>
      </c>
      <c r="H237" s="94" t="s">
        <v>1443</v>
      </c>
      <c r="I237" s="81">
        <v>6072314301</v>
      </c>
      <c r="J237" s="32">
        <v>1424370021</v>
      </c>
      <c r="K237" s="47">
        <v>7496684322</v>
      </c>
      <c r="L237" s="77" t="s">
        <v>84</v>
      </c>
      <c r="M237" s="54">
        <v>901153192</v>
      </c>
      <c r="N237" s="30" t="s">
        <v>85</v>
      </c>
      <c r="O237" s="2" t="s">
        <v>1408</v>
      </c>
      <c r="P237" s="73" t="s">
        <v>318</v>
      </c>
      <c r="Q237" s="3"/>
      <c r="R237" s="32">
        <f>+Tabla1513[[#This Row],[VALOR INICIAL DEL CONTRATO CON IVA]]+Tabla1513[[#This Row],[VALOR DE LAS ADICIONES CON IVA]]</f>
        <v>7496684322</v>
      </c>
      <c r="S237" s="48">
        <f>+Tabla1513[[#This Row],[FECHA TERMINACIÓN INICIAL CONTRATO]]-Tabla1513[[#This Row],[FECHA INICIO CONTRATO]]</f>
        <v>1095</v>
      </c>
      <c r="T237" s="24" t="s">
        <v>318</v>
      </c>
      <c r="U237" s="4"/>
      <c r="V237" s="24" t="s">
        <v>318</v>
      </c>
      <c r="W237" s="70">
        <v>45778</v>
      </c>
      <c r="X237" s="70">
        <v>46873</v>
      </c>
      <c r="Y237" s="70">
        <v>46873</v>
      </c>
      <c r="Z237" s="72" t="s">
        <v>319</v>
      </c>
      <c r="AA237" s="60"/>
      <c r="AB237" s="131"/>
      <c r="AC237" s="56" t="s">
        <v>1446</v>
      </c>
      <c r="AD237" s="34"/>
      <c r="AE237" s="34"/>
      <c r="AF237" s="35"/>
      <c r="AG237" s="36" t="s">
        <v>1643</v>
      </c>
      <c r="AH237" s="63">
        <v>2025</v>
      </c>
    </row>
    <row r="238" spans="1:34" ht="43.5" x14ac:dyDescent="0.35">
      <c r="A238" s="55" t="s">
        <v>330</v>
      </c>
      <c r="B238" s="2" t="s">
        <v>11</v>
      </c>
      <c r="C238" s="30" t="s">
        <v>20</v>
      </c>
      <c r="D238" s="2" t="s">
        <v>313</v>
      </c>
      <c r="E238" s="96" t="s">
        <v>1302</v>
      </c>
      <c r="F238" s="70">
        <v>45777</v>
      </c>
      <c r="G238" s="30" t="s">
        <v>150</v>
      </c>
      <c r="H238" s="94" t="s">
        <v>1304</v>
      </c>
      <c r="I238" s="111">
        <v>71114416</v>
      </c>
      <c r="J238" s="101">
        <v>0</v>
      </c>
      <c r="K238" s="47">
        <v>71114416</v>
      </c>
      <c r="L238" s="77" t="s">
        <v>84</v>
      </c>
      <c r="M238" s="54">
        <v>830103591</v>
      </c>
      <c r="N238" s="30" t="s">
        <v>111</v>
      </c>
      <c r="O238" s="2" t="s">
        <v>1305</v>
      </c>
      <c r="P238" s="73" t="s">
        <v>318</v>
      </c>
      <c r="Q238" s="3"/>
      <c r="R238" s="32">
        <f>+Tabla1513[[#This Row],[VALOR INICIAL DEL CONTRATO CON IVA]]+Tabla1513[[#This Row],[VALOR DE LAS ADICIONES CON IVA]]</f>
        <v>71114416</v>
      </c>
      <c r="S238" s="48">
        <f>+Tabla1513[[#This Row],[FECHA TERMINACIÓN INICIAL CONTRATO]]-Tabla1513[[#This Row],[FECHA INICIO CONTRATO]]</f>
        <v>365</v>
      </c>
      <c r="T238" s="24" t="s">
        <v>318</v>
      </c>
      <c r="U238" s="4"/>
      <c r="V238" s="24" t="s">
        <v>318</v>
      </c>
      <c r="W238" s="70">
        <v>45778</v>
      </c>
      <c r="X238" s="70">
        <v>46143</v>
      </c>
      <c r="Y238" s="70">
        <v>46143</v>
      </c>
      <c r="Z238" s="72" t="s">
        <v>319</v>
      </c>
      <c r="AA238" s="60"/>
      <c r="AB238" s="131"/>
      <c r="AC238" s="56" t="s">
        <v>1139</v>
      </c>
      <c r="AD238" s="34"/>
      <c r="AE238" s="34"/>
      <c r="AF238" s="35"/>
      <c r="AG238" s="36" t="s">
        <v>1654</v>
      </c>
      <c r="AH238" s="63">
        <v>2025</v>
      </c>
    </row>
    <row r="239" spans="1:34" ht="43.5" x14ac:dyDescent="0.35">
      <c r="A239" s="55" t="s">
        <v>330</v>
      </c>
      <c r="B239" s="2" t="s">
        <v>310</v>
      </c>
      <c r="C239" s="30" t="s">
        <v>843</v>
      </c>
      <c r="D239" s="2" t="s">
        <v>313</v>
      </c>
      <c r="E239" s="96" t="s">
        <v>1371</v>
      </c>
      <c r="F239" s="70">
        <v>45777</v>
      </c>
      <c r="G239" s="30" t="s">
        <v>150</v>
      </c>
      <c r="H239" s="94" t="s">
        <v>1411</v>
      </c>
      <c r="I239" s="111">
        <v>11000000</v>
      </c>
      <c r="J239" s="101">
        <v>2090000</v>
      </c>
      <c r="K239" s="47">
        <v>13090000</v>
      </c>
      <c r="L239" s="77" t="s">
        <v>84</v>
      </c>
      <c r="M239" s="54">
        <v>860019289</v>
      </c>
      <c r="N239" s="30" t="s">
        <v>111</v>
      </c>
      <c r="O239" s="2" t="s">
        <v>757</v>
      </c>
      <c r="P239" s="73" t="s">
        <v>318</v>
      </c>
      <c r="Q239" s="3"/>
      <c r="R239" s="32">
        <f>+Tabla1513[[#This Row],[VALOR INICIAL DEL CONTRATO CON IVA]]+Tabla1513[[#This Row],[VALOR DE LAS ADICIONES CON IVA]]</f>
        <v>13090000</v>
      </c>
      <c r="S239" s="48">
        <f>+Tabla1513[[#This Row],[FECHA TERMINACIÓN INICIAL CONTRATO]]-Tabla1513[[#This Row],[FECHA INICIO CONTRATO]]</f>
        <v>24</v>
      </c>
      <c r="T239" s="24" t="s">
        <v>318</v>
      </c>
      <c r="U239" s="4"/>
      <c r="V239" s="24" t="s">
        <v>318</v>
      </c>
      <c r="W239" s="70">
        <v>45783</v>
      </c>
      <c r="X239" s="70">
        <v>45807</v>
      </c>
      <c r="Y239" s="70">
        <v>45807</v>
      </c>
      <c r="Z239" s="72" t="s">
        <v>411</v>
      </c>
      <c r="AA239" s="60">
        <v>45845</v>
      </c>
      <c r="AB239" s="60" t="s">
        <v>406</v>
      </c>
      <c r="AC239" s="56" t="s">
        <v>1318</v>
      </c>
      <c r="AD239" s="34">
        <v>1</v>
      </c>
      <c r="AE239" s="34">
        <v>1</v>
      </c>
      <c r="AF239" s="35">
        <v>13090000</v>
      </c>
      <c r="AG239" s="36" t="s">
        <v>1624</v>
      </c>
      <c r="AH239" s="63">
        <v>2025</v>
      </c>
    </row>
    <row r="240" spans="1:34" ht="29" x14ac:dyDescent="0.35">
      <c r="A240" s="55" t="s">
        <v>330</v>
      </c>
      <c r="B240" s="2" t="s">
        <v>473</v>
      </c>
      <c r="C240" s="30" t="s">
        <v>63</v>
      </c>
      <c r="D240" s="2" t="s">
        <v>313</v>
      </c>
      <c r="E240" s="96" t="s">
        <v>1384</v>
      </c>
      <c r="F240" s="70">
        <v>45777</v>
      </c>
      <c r="G240" s="30" t="s">
        <v>150</v>
      </c>
      <c r="H240" s="94" t="s">
        <v>909</v>
      </c>
      <c r="I240" s="111">
        <v>200000000</v>
      </c>
      <c r="J240" s="101">
        <v>38000000</v>
      </c>
      <c r="K240" s="47">
        <v>238000000</v>
      </c>
      <c r="L240" s="77" t="s">
        <v>84</v>
      </c>
      <c r="M240" s="54">
        <v>900708605</v>
      </c>
      <c r="N240" s="30" t="s">
        <v>85</v>
      </c>
      <c r="O240" s="2" t="s">
        <v>1427</v>
      </c>
      <c r="P240" s="73" t="s">
        <v>318</v>
      </c>
      <c r="Q240" s="3"/>
      <c r="R240" s="32">
        <f>+Tabla1513[[#This Row],[VALOR INICIAL DEL CONTRATO CON IVA]]+Tabla1513[[#This Row],[VALOR DE LAS ADICIONES CON IVA]]</f>
        <v>238000000</v>
      </c>
      <c r="S240" s="48">
        <f>+Tabla1513[[#This Row],[FECHA TERMINACIÓN INICIAL CONTRATO]]-Tabla1513[[#This Row],[FECHA INICIO CONTRATO]]</f>
        <v>364</v>
      </c>
      <c r="T240" s="24" t="s">
        <v>318</v>
      </c>
      <c r="U240" s="4"/>
      <c r="V240" s="24" t="s">
        <v>318</v>
      </c>
      <c r="W240" s="70">
        <v>45779</v>
      </c>
      <c r="X240" s="70">
        <v>46143</v>
      </c>
      <c r="Y240" s="70">
        <v>46143</v>
      </c>
      <c r="Z240" s="72" t="s">
        <v>319</v>
      </c>
      <c r="AA240" s="60"/>
      <c r="AB240" s="131"/>
      <c r="AC240" s="56" t="s">
        <v>312</v>
      </c>
      <c r="AD240" s="34"/>
      <c r="AE240" s="34"/>
      <c r="AF240" s="35"/>
      <c r="AG240" s="36" t="s">
        <v>1655</v>
      </c>
      <c r="AH240" s="63">
        <v>2025</v>
      </c>
    </row>
    <row r="241" spans="1:34" ht="43.5" x14ac:dyDescent="0.35">
      <c r="A241" s="55" t="s">
        <v>330</v>
      </c>
      <c r="B241" s="2" t="s">
        <v>11</v>
      </c>
      <c r="C241" s="30" t="s">
        <v>19</v>
      </c>
      <c r="D241" s="2" t="s">
        <v>714</v>
      </c>
      <c r="E241" s="96" t="s">
        <v>1306</v>
      </c>
      <c r="F241" s="70">
        <v>45777</v>
      </c>
      <c r="G241" s="30" t="s">
        <v>150</v>
      </c>
      <c r="H241" s="94" t="s">
        <v>1310</v>
      </c>
      <c r="I241" s="81">
        <v>1675800</v>
      </c>
      <c r="J241" s="32">
        <v>0</v>
      </c>
      <c r="K241" s="47">
        <v>1675800</v>
      </c>
      <c r="L241" s="77" t="s">
        <v>84</v>
      </c>
      <c r="M241" s="54">
        <v>900228799</v>
      </c>
      <c r="N241" s="30" t="s">
        <v>85</v>
      </c>
      <c r="O241" s="2" t="s">
        <v>1308</v>
      </c>
      <c r="P241" s="73" t="s">
        <v>318</v>
      </c>
      <c r="Q241" s="3"/>
      <c r="R241" s="32">
        <f>+Tabla1513[[#This Row],[VALOR INICIAL DEL CONTRATO CON IVA]]+Tabla1513[[#This Row],[VALOR DE LAS ADICIONES CON IVA]]</f>
        <v>1675800</v>
      </c>
      <c r="S241" s="48">
        <f>+Tabla1513[[#This Row],[FECHA TERMINACIÓN INICIAL CONTRATO]]-Tabla1513[[#This Row],[FECHA INICIO CONTRATO]]</f>
        <v>1096</v>
      </c>
      <c r="T241" s="24" t="s">
        <v>318</v>
      </c>
      <c r="U241" s="4"/>
      <c r="V241" s="24" t="s">
        <v>318</v>
      </c>
      <c r="W241" s="70">
        <v>45777</v>
      </c>
      <c r="X241" s="70">
        <v>46873</v>
      </c>
      <c r="Y241" s="70">
        <v>46873</v>
      </c>
      <c r="Z241" s="72" t="s">
        <v>319</v>
      </c>
      <c r="AA241" s="60"/>
      <c r="AB241" s="131"/>
      <c r="AC241" s="56" t="s">
        <v>1318</v>
      </c>
      <c r="AD241" s="34"/>
      <c r="AE241" s="34"/>
      <c r="AF241" s="35"/>
      <c r="AG241" s="36" t="s">
        <v>1656</v>
      </c>
      <c r="AH241" s="63">
        <v>2025</v>
      </c>
    </row>
    <row r="242" spans="1:34" ht="29" x14ac:dyDescent="0.35">
      <c r="A242" s="55" t="s">
        <v>330</v>
      </c>
      <c r="B242" s="2" t="s">
        <v>473</v>
      </c>
      <c r="C242" s="30" t="s">
        <v>63</v>
      </c>
      <c r="D242" s="2" t="s">
        <v>313</v>
      </c>
      <c r="E242" s="96" t="s">
        <v>1307</v>
      </c>
      <c r="F242" s="70">
        <v>45777</v>
      </c>
      <c r="G242" s="30" t="s">
        <v>150</v>
      </c>
      <c r="H242" s="94" t="s">
        <v>909</v>
      </c>
      <c r="I242" s="111">
        <v>300000000</v>
      </c>
      <c r="J242" s="101">
        <v>57000000</v>
      </c>
      <c r="K242" s="47">
        <v>357000000</v>
      </c>
      <c r="L242" s="77" t="s">
        <v>84</v>
      </c>
      <c r="M242" s="54">
        <v>900720181</v>
      </c>
      <c r="N242" s="30" t="s">
        <v>123</v>
      </c>
      <c r="O242" s="2" t="s">
        <v>1309</v>
      </c>
      <c r="P242" s="73" t="s">
        <v>318</v>
      </c>
      <c r="Q242" s="3"/>
      <c r="R242" s="32">
        <f>+Tabla1513[[#This Row],[VALOR INICIAL DEL CONTRATO CON IVA]]+Tabla1513[[#This Row],[VALOR DE LAS ADICIONES CON IVA]]</f>
        <v>357000000</v>
      </c>
      <c r="S242" s="48">
        <f>+Tabla1513[[#This Row],[FECHA TERMINACIÓN INICIAL CONTRATO]]-Tabla1513[[#This Row],[FECHA INICIO CONTRATO]]</f>
        <v>364</v>
      </c>
      <c r="T242" s="24" t="s">
        <v>318</v>
      </c>
      <c r="U242" s="4"/>
      <c r="V242" s="24" t="s">
        <v>318</v>
      </c>
      <c r="W242" s="70">
        <v>45779</v>
      </c>
      <c r="X242" s="70">
        <v>46143</v>
      </c>
      <c r="Y242" s="70">
        <v>46143</v>
      </c>
      <c r="Z242" s="72" t="s">
        <v>319</v>
      </c>
      <c r="AA242" s="60"/>
      <c r="AB242" s="131"/>
      <c r="AC242" s="56" t="s">
        <v>312</v>
      </c>
      <c r="AD242" s="34"/>
      <c r="AE242" s="34"/>
      <c r="AF242" s="35"/>
      <c r="AG242" s="36" t="s">
        <v>1543</v>
      </c>
      <c r="AH242" s="63">
        <v>2025</v>
      </c>
    </row>
    <row r="243" spans="1:34" ht="29" x14ac:dyDescent="0.35">
      <c r="A243" s="55" t="s">
        <v>330</v>
      </c>
      <c r="B243" s="2" t="s">
        <v>11</v>
      </c>
      <c r="C243" s="30" t="s">
        <v>19</v>
      </c>
      <c r="D243" s="2" t="s">
        <v>313</v>
      </c>
      <c r="E243" s="96" t="s">
        <v>1311</v>
      </c>
      <c r="F243" s="70">
        <v>45785</v>
      </c>
      <c r="G243" s="30" t="s">
        <v>113</v>
      </c>
      <c r="H243" s="94" t="s">
        <v>1313</v>
      </c>
      <c r="I243" s="81">
        <v>31761100</v>
      </c>
      <c r="J243" s="32">
        <v>0</v>
      </c>
      <c r="K243" s="47">
        <v>31761100</v>
      </c>
      <c r="L243" s="77" t="s">
        <v>84</v>
      </c>
      <c r="M243" s="54">
        <v>900461036</v>
      </c>
      <c r="N243" s="30" t="s">
        <v>117</v>
      </c>
      <c r="O243" s="2" t="s">
        <v>1312</v>
      </c>
      <c r="P243" s="73" t="s">
        <v>318</v>
      </c>
      <c r="Q243" s="3"/>
      <c r="R243" s="32">
        <f>+Tabla1513[[#This Row],[VALOR INICIAL DEL CONTRATO CON IVA]]+Tabla1513[[#This Row],[VALOR DE LAS ADICIONES CON IVA]]</f>
        <v>31761100</v>
      </c>
      <c r="S243" s="48">
        <f>+Tabla1513[[#This Row],[FECHA TERMINACIÓN INICIAL CONTRATO]]-Tabla1513[[#This Row],[FECHA INICIO CONTRATO]]</f>
        <v>15</v>
      </c>
      <c r="T243" s="24" t="s">
        <v>318</v>
      </c>
      <c r="U243" s="4"/>
      <c r="V243" s="24" t="s">
        <v>318</v>
      </c>
      <c r="W243" s="70">
        <v>45785</v>
      </c>
      <c r="X243" s="70">
        <v>45800</v>
      </c>
      <c r="Y243" s="70">
        <v>45800</v>
      </c>
      <c r="Z243" s="72" t="s">
        <v>405</v>
      </c>
      <c r="AA243" s="60"/>
      <c r="AB243" s="60" t="s">
        <v>406</v>
      </c>
      <c r="AC243" s="56" t="s">
        <v>1062</v>
      </c>
      <c r="AD243" s="34"/>
      <c r="AE243" s="34"/>
      <c r="AF243" s="35"/>
      <c r="AG243" s="36" t="s">
        <v>1657</v>
      </c>
      <c r="AH243" s="63">
        <v>2025</v>
      </c>
    </row>
    <row r="244" spans="1:34" ht="29" x14ac:dyDescent="0.35">
      <c r="A244" s="55" t="s">
        <v>330</v>
      </c>
      <c r="B244" s="2" t="s">
        <v>473</v>
      </c>
      <c r="C244" s="30" t="s">
        <v>63</v>
      </c>
      <c r="D244" s="2" t="s">
        <v>313</v>
      </c>
      <c r="E244" s="96" t="s">
        <v>1398</v>
      </c>
      <c r="F244" s="70">
        <v>45777</v>
      </c>
      <c r="G244" s="30" t="s">
        <v>150</v>
      </c>
      <c r="H244" s="94" t="s">
        <v>909</v>
      </c>
      <c r="I244" s="111">
        <v>150000000</v>
      </c>
      <c r="J244" s="101">
        <v>28500000</v>
      </c>
      <c r="K244" s="47">
        <v>178500000</v>
      </c>
      <c r="L244" s="77" t="s">
        <v>84</v>
      </c>
      <c r="M244" s="54">
        <v>900586852</v>
      </c>
      <c r="N244" s="30" t="s">
        <v>120</v>
      </c>
      <c r="O244" s="2" t="s">
        <v>794</v>
      </c>
      <c r="P244" s="73" t="s">
        <v>318</v>
      </c>
      <c r="Q244" s="3"/>
      <c r="R244" s="32">
        <f>+Tabla1513[[#This Row],[VALOR INICIAL DEL CONTRATO CON IVA]]+Tabla1513[[#This Row],[VALOR DE LAS ADICIONES CON IVA]]</f>
        <v>178500000</v>
      </c>
      <c r="S244" s="48">
        <f>+Tabla1513[[#This Row],[FECHA TERMINACIÓN INICIAL CONTRATO]]-Tabla1513[[#This Row],[FECHA INICIO CONTRATO]]</f>
        <v>364</v>
      </c>
      <c r="T244" s="24" t="s">
        <v>318</v>
      </c>
      <c r="U244" s="4"/>
      <c r="V244" s="24" t="s">
        <v>318</v>
      </c>
      <c r="W244" s="70">
        <v>45798</v>
      </c>
      <c r="X244" s="70">
        <v>46162</v>
      </c>
      <c r="Y244" s="70">
        <v>46162</v>
      </c>
      <c r="Z244" s="72" t="s">
        <v>319</v>
      </c>
      <c r="AA244" s="60"/>
      <c r="AB244" s="131"/>
      <c r="AC244" s="56" t="s">
        <v>312</v>
      </c>
      <c r="AD244" s="34"/>
      <c r="AE244" s="34"/>
      <c r="AF244" s="35"/>
      <c r="AG244" s="36" t="s">
        <v>1544</v>
      </c>
      <c r="AH244" s="63">
        <v>2025</v>
      </c>
    </row>
    <row r="245" spans="1:34" ht="29" x14ac:dyDescent="0.35">
      <c r="A245" s="55" t="s">
        <v>330</v>
      </c>
      <c r="B245" s="2" t="s">
        <v>473</v>
      </c>
      <c r="C245" s="30" t="s">
        <v>63</v>
      </c>
      <c r="D245" s="2" t="s">
        <v>313</v>
      </c>
      <c r="E245" s="96" t="s">
        <v>1385</v>
      </c>
      <c r="F245" s="70">
        <v>45777</v>
      </c>
      <c r="G245" s="30" t="s">
        <v>150</v>
      </c>
      <c r="H245" s="94" t="s">
        <v>909</v>
      </c>
      <c r="I245" s="111">
        <v>150000000</v>
      </c>
      <c r="J245" s="101">
        <v>28500000</v>
      </c>
      <c r="K245" s="47">
        <v>178500000</v>
      </c>
      <c r="L245" s="77" t="s">
        <v>84</v>
      </c>
      <c r="M245" s="54">
        <v>901182653</v>
      </c>
      <c r="N245" s="30" t="s">
        <v>120</v>
      </c>
      <c r="O245" s="2" t="s">
        <v>780</v>
      </c>
      <c r="P245" s="73" t="s">
        <v>318</v>
      </c>
      <c r="Q245" s="3"/>
      <c r="R245" s="32">
        <f>+Tabla1513[[#This Row],[VALOR INICIAL DEL CONTRATO CON IVA]]+Tabla1513[[#This Row],[VALOR DE LAS ADICIONES CON IVA]]</f>
        <v>178500000</v>
      </c>
      <c r="S245" s="48">
        <f>+Tabla1513[[#This Row],[FECHA TERMINACIÓN INICIAL CONTRATO]]-Tabla1513[[#This Row],[FECHA INICIO CONTRATO]]</f>
        <v>364</v>
      </c>
      <c r="T245" s="24" t="s">
        <v>318</v>
      </c>
      <c r="U245" s="4"/>
      <c r="V245" s="24" t="s">
        <v>318</v>
      </c>
      <c r="W245" s="70">
        <v>45784</v>
      </c>
      <c r="X245" s="70">
        <v>46148</v>
      </c>
      <c r="Y245" s="70">
        <v>46148</v>
      </c>
      <c r="Z245" s="72" t="s">
        <v>319</v>
      </c>
      <c r="AA245" s="60"/>
      <c r="AB245" s="131"/>
      <c r="AC245" s="56" t="s">
        <v>312</v>
      </c>
      <c r="AD245" s="34"/>
      <c r="AE245" s="34"/>
      <c r="AF245" s="35"/>
      <c r="AG245" s="36" t="s">
        <v>1545</v>
      </c>
      <c r="AH245" s="63">
        <v>2025</v>
      </c>
    </row>
    <row r="246" spans="1:34" ht="29" x14ac:dyDescent="0.35">
      <c r="A246" s="55" t="s">
        <v>330</v>
      </c>
      <c r="B246" s="2" t="s">
        <v>473</v>
      </c>
      <c r="C246" s="30" t="s">
        <v>63</v>
      </c>
      <c r="D246" s="2" t="s">
        <v>313</v>
      </c>
      <c r="E246" s="96" t="s">
        <v>1399</v>
      </c>
      <c r="F246" s="70">
        <v>45777</v>
      </c>
      <c r="G246" s="30" t="s">
        <v>150</v>
      </c>
      <c r="H246" s="94" t="s">
        <v>909</v>
      </c>
      <c r="I246" s="111">
        <v>150000000</v>
      </c>
      <c r="J246" s="101">
        <v>28500000</v>
      </c>
      <c r="K246" s="47">
        <v>178500000</v>
      </c>
      <c r="L246" s="77" t="s">
        <v>84</v>
      </c>
      <c r="M246" s="54">
        <v>860070899</v>
      </c>
      <c r="N246" s="30" t="s">
        <v>103</v>
      </c>
      <c r="O246" s="2" t="s">
        <v>1439</v>
      </c>
      <c r="P246" s="73" t="s">
        <v>318</v>
      </c>
      <c r="Q246" s="3"/>
      <c r="R246" s="32">
        <f>+Tabla1513[[#This Row],[VALOR INICIAL DEL CONTRATO CON IVA]]+Tabla1513[[#This Row],[VALOR DE LAS ADICIONES CON IVA]]</f>
        <v>178500000</v>
      </c>
      <c r="S246" s="48">
        <f>+Tabla1513[[#This Row],[FECHA TERMINACIÓN INICIAL CONTRATO]]-Tabla1513[[#This Row],[FECHA INICIO CONTRATO]]</f>
        <v>364</v>
      </c>
      <c r="T246" s="24" t="s">
        <v>318</v>
      </c>
      <c r="U246" s="4"/>
      <c r="V246" s="24" t="s">
        <v>318</v>
      </c>
      <c r="W246" s="70">
        <v>45792</v>
      </c>
      <c r="X246" s="70">
        <v>46156</v>
      </c>
      <c r="Y246" s="70">
        <v>46156</v>
      </c>
      <c r="Z246" s="72" t="s">
        <v>319</v>
      </c>
      <c r="AA246" s="60"/>
      <c r="AB246" s="131"/>
      <c r="AC246" s="56" t="s">
        <v>312</v>
      </c>
      <c r="AD246" s="34"/>
      <c r="AE246" s="34"/>
      <c r="AF246" s="35"/>
      <c r="AG246" s="90" t="s">
        <v>1809</v>
      </c>
      <c r="AH246" s="63">
        <v>2025</v>
      </c>
    </row>
    <row r="247" spans="1:34" ht="43.5" x14ac:dyDescent="0.35">
      <c r="A247" s="55" t="s">
        <v>330</v>
      </c>
      <c r="B247" s="2" t="s">
        <v>473</v>
      </c>
      <c r="C247" s="30" t="s">
        <v>63</v>
      </c>
      <c r="D247" s="2" t="s">
        <v>313</v>
      </c>
      <c r="E247" s="96" t="s">
        <v>1383</v>
      </c>
      <c r="F247" s="70">
        <v>45779</v>
      </c>
      <c r="G247" s="30" t="s">
        <v>150</v>
      </c>
      <c r="H247" s="94" t="s">
        <v>909</v>
      </c>
      <c r="I247" s="111">
        <v>400000000</v>
      </c>
      <c r="J247" s="101">
        <v>76000000</v>
      </c>
      <c r="K247" s="47">
        <v>476000000</v>
      </c>
      <c r="L247" s="77" t="s">
        <v>84</v>
      </c>
      <c r="M247" s="54">
        <v>900722172</v>
      </c>
      <c r="N247" s="30" t="s">
        <v>91</v>
      </c>
      <c r="O247" s="2" t="s">
        <v>775</v>
      </c>
      <c r="P247" s="73" t="s">
        <v>318</v>
      </c>
      <c r="Q247" s="3"/>
      <c r="R247" s="32">
        <f>+Tabla1513[[#This Row],[VALOR INICIAL DEL CONTRATO CON IVA]]+Tabla1513[[#This Row],[VALOR DE LAS ADICIONES CON IVA]]</f>
        <v>476000000</v>
      </c>
      <c r="S247" s="48">
        <f>+Tabla1513[[#This Row],[FECHA TERMINACIÓN INICIAL CONTRATO]]-Tabla1513[[#This Row],[FECHA INICIO CONTRATO]]</f>
        <v>364</v>
      </c>
      <c r="T247" s="24" t="s">
        <v>318</v>
      </c>
      <c r="U247" s="4"/>
      <c r="V247" s="24" t="s">
        <v>318</v>
      </c>
      <c r="W247" s="70">
        <v>45779</v>
      </c>
      <c r="X247" s="70">
        <v>46143</v>
      </c>
      <c r="Y247" s="70">
        <v>46143</v>
      </c>
      <c r="Z247" s="72" t="s">
        <v>319</v>
      </c>
      <c r="AA247" s="60"/>
      <c r="AB247" s="131"/>
      <c r="AC247" s="56" t="s">
        <v>312</v>
      </c>
      <c r="AD247" s="34"/>
      <c r="AE247" s="34"/>
      <c r="AF247" s="35"/>
      <c r="AG247" s="90" t="s">
        <v>1644</v>
      </c>
      <c r="AH247" s="63">
        <v>2025</v>
      </c>
    </row>
    <row r="248" spans="1:34" ht="29" x14ac:dyDescent="0.35">
      <c r="A248" s="55" t="s">
        <v>330</v>
      </c>
      <c r="B248" s="2" t="s">
        <v>31</v>
      </c>
      <c r="C248" s="30" t="s">
        <v>33</v>
      </c>
      <c r="D248" s="2" t="s">
        <v>313</v>
      </c>
      <c r="E248" s="96" t="s">
        <v>1375</v>
      </c>
      <c r="F248" s="70">
        <v>45779</v>
      </c>
      <c r="G248" s="30" t="s">
        <v>150</v>
      </c>
      <c r="H248" s="94" t="s">
        <v>1416</v>
      </c>
      <c r="I248" s="111">
        <v>52950000</v>
      </c>
      <c r="J248" s="101">
        <v>10060500</v>
      </c>
      <c r="K248" s="47">
        <v>63010500</v>
      </c>
      <c r="L248" s="77" t="s">
        <v>84</v>
      </c>
      <c r="M248" s="54">
        <v>901017115</v>
      </c>
      <c r="N248" s="30" t="s">
        <v>91</v>
      </c>
      <c r="O248" s="2" t="s">
        <v>786</v>
      </c>
      <c r="P248" s="73" t="s">
        <v>318</v>
      </c>
      <c r="Q248" s="3"/>
      <c r="R248" s="32">
        <f>+Tabla1513[[#This Row],[VALOR INICIAL DEL CONTRATO CON IVA]]+Tabla1513[[#This Row],[VALOR DE LAS ADICIONES CON IVA]]</f>
        <v>63010500</v>
      </c>
      <c r="S248" s="48">
        <f>+Tabla1513[[#This Row],[FECHA TERMINACIÓN INICIAL CONTRATO]]-Tabla1513[[#This Row],[FECHA INICIO CONTRATO]]</f>
        <v>225</v>
      </c>
      <c r="T248" s="24" t="s">
        <v>318</v>
      </c>
      <c r="U248" s="4"/>
      <c r="V248" s="24" t="s">
        <v>318</v>
      </c>
      <c r="W248" s="70">
        <v>45797</v>
      </c>
      <c r="X248" s="70">
        <v>46022</v>
      </c>
      <c r="Y248" s="70">
        <v>46022</v>
      </c>
      <c r="Z248" s="72" t="s">
        <v>319</v>
      </c>
      <c r="AA248" s="60"/>
      <c r="AB248" s="131"/>
      <c r="AC248" s="56" t="s">
        <v>415</v>
      </c>
      <c r="AD248" s="34"/>
      <c r="AE248" s="34"/>
      <c r="AF248" s="35"/>
      <c r="AG248" s="36" t="s">
        <v>1467</v>
      </c>
      <c r="AH248" s="63">
        <v>2025</v>
      </c>
    </row>
    <row r="249" spans="1:34" ht="29" x14ac:dyDescent="0.35">
      <c r="A249" s="55" t="s">
        <v>330</v>
      </c>
      <c r="B249" s="2" t="s">
        <v>473</v>
      </c>
      <c r="C249" s="30" t="s">
        <v>63</v>
      </c>
      <c r="D249" s="2" t="s">
        <v>313</v>
      </c>
      <c r="E249" s="96" t="s">
        <v>1381</v>
      </c>
      <c r="F249" s="70">
        <v>45777</v>
      </c>
      <c r="G249" s="30" t="s">
        <v>150</v>
      </c>
      <c r="H249" s="94" t="s">
        <v>909</v>
      </c>
      <c r="I249" s="111">
        <v>400000000</v>
      </c>
      <c r="J249" s="101">
        <v>76000000</v>
      </c>
      <c r="K249" s="47">
        <v>476000000</v>
      </c>
      <c r="L249" s="77" t="s">
        <v>84</v>
      </c>
      <c r="M249" s="54">
        <v>900881021</v>
      </c>
      <c r="N249" s="30" t="s">
        <v>123</v>
      </c>
      <c r="O249" s="2" t="s">
        <v>1426</v>
      </c>
      <c r="P249" s="73" t="s">
        <v>318</v>
      </c>
      <c r="Q249" s="3"/>
      <c r="R249" s="32">
        <f>+Tabla1513[[#This Row],[VALOR INICIAL DEL CONTRATO CON IVA]]+Tabla1513[[#This Row],[VALOR DE LAS ADICIONES CON IVA]]</f>
        <v>476000000</v>
      </c>
      <c r="S249" s="48">
        <f>+Tabla1513[[#This Row],[FECHA TERMINACIÓN INICIAL CONTRATO]]-Tabla1513[[#This Row],[FECHA INICIO CONTRATO]]</f>
        <v>364</v>
      </c>
      <c r="T249" s="24" t="s">
        <v>318</v>
      </c>
      <c r="U249" s="4"/>
      <c r="V249" s="24" t="s">
        <v>318</v>
      </c>
      <c r="W249" s="70">
        <v>45779</v>
      </c>
      <c r="X249" s="70">
        <v>46143</v>
      </c>
      <c r="Y249" s="70">
        <v>46143</v>
      </c>
      <c r="Z249" s="72" t="s">
        <v>319</v>
      </c>
      <c r="AA249" s="60"/>
      <c r="AB249" s="131"/>
      <c r="AC249" s="56" t="s">
        <v>312</v>
      </c>
      <c r="AD249" s="34"/>
      <c r="AE249" s="34"/>
      <c r="AF249" s="35"/>
      <c r="AG249" s="36" t="s">
        <v>1546</v>
      </c>
      <c r="AH249" s="63">
        <v>2025</v>
      </c>
    </row>
    <row r="250" spans="1:34" ht="29" x14ac:dyDescent="0.35">
      <c r="A250" s="55" t="s">
        <v>330</v>
      </c>
      <c r="B250" s="2" t="s">
        <v>473</v>
      </c>
      <c r="C250" s="30" t="s">
        <v>63</v>
      </c>
      <c r="D250" s="2" t="s">
        <v>313</v>
      </c>
      <c r="E250" s="96" t="s">
        <v>1382</v>
      </c>
      <c r="F250" s="70">
        <v>45779</v>
      </c>
      <c r="G250" s="30" t="s">
        <v>150</v>
      </c>
      <c r="H250" s="94" t="s">
        <v>909</v>
      </c>
      <c r="I250" s="111">
        <v>300000000</v>
      </c>
      <c r="J250" s="101">
        <v>57000000</v>
      </c>
      <c r="K250" s="47">
        <v>357000000</v>
      </c>
      <c r="L250" s="77" t="s">
        <v>84</v>
      </c>
      <c r="M250" s="54">
        <v>901071559</v>
      </c>
      <c r="N250" s="30" t="s">
        <v>117</v>
      </c>
      <c r="O250" s="2" t="s">
        <v>776</v>
      </c>
      <c r="P250" s="73" t="s">
        <v>318</v>
      </c>
      <c r="Q250" s="3"/>
      <c r="R250" s="32">
        <f>+Tabla1513[[#This Row],[VALOR INICIAL DEL CONTRATO CON IVA]]+Tabla1513[[#This Row],[VALOR DE LAS ADICIONES CON IVA]]</f>
        <v>357000000</v>
      </c>
      <c r="S250" s="48">
        <f>+Tabla1513[[#This Row],[FECHA TERMINACIÓN INICIAL CONTRATO]]-Tabla1513[[#This Row],[FECHA INICIO CONTRATO]]</f>
        <v>364</v>
      </c>
      <c r="T250" s="24" t="s">
        <v>318</v>
      </c>
      <c r="U250" s="4"/>
      <c r="V250" s="24" t="s">
        <v>318</v>
      </c>
      <c r="W250" s="70">
        <v>45779</v>
      </c>
      <c r="X250" s="70">
        <v>46143</v>
      </c>
      <c r="Y250" s="70">
        <v>46143</v>
      </c>
      <c r="Z250" s="72" t="s">
        <v>319</v>
      </c>
      <c r="AA250" s="60"/>
      <c r="AB250" s="131"/>
      <c r="AC250" s="56" t="s">
        <v>312</v>
      </c>
      <c r="AD250" s="34"/>
      <c r="AE250" s="34"/>
      <c r="AF250" s="35"/>
      <c r="AG250" s="36" t="s">
        <v>1468</v>
      </c>
      <c r="AH250" s="63">
        <v>2025</v>
      </c>
    </row>
    <row r="251" spans="1:34" ht="29" x14ac:dyDescent="0.35">
      <c r="A251" s="55" t="s">
        <v>330</v>
      </c>
      <c r="B251" s="2" t="s">
        <v>473</v>
      </c>
      <c r="C251" s="30" t="s">
        <v>63</v>
      </c>
      <c r="D251" s="2" t="s">
        <v>313</v>
      </c>
      <c r="E251" s="96" t="s">
        <v>1470</v>
      </c>
      <c r="F251" s="70">
        <v>45779</v>
      </c>
      <c r="G251" s="30" t="s">
        <v>150</v>
      </c>
      <c r="H251" s="94" t="s">
        <v>909</v>
      </c>
      <c r="I251" s="111">
        <v>300000000</v>
      </c>
      <c r="J251" s="101">
        <v>57000000</v>
      </c>
      <c r="K251" s="47">
        <v>357000000</v>
      </c>
      <c r="L251" s="77" t="s">
        <v>84</v>
      </c>
      <c r="M251" s="54">
        <v>900592204</v>
      </c>
      <c r="N251" s="30" t="s">
        <v>91</v>
      </c>
      <c r="O251" s="2" t="s">
        <v>1472</v>
      </c>
      <c r="P251" s="73" t="s">
        <v>318</v>
      </c>
      <c r="Q251" s="3"/>
      <c r="R251" s="32">
        <f>+Tabla1513[[#This Row],[VALOR INICIAL DEL CONTRATO CON IVA]]+Tabla1513[[#This Row],[VALOR DE LAS ADICIONES CON IVA]]</f>
        <v>357000000</v>
      </c>
      <c r="S251" s="48">
        <f>+Tabla1513[[#This Row],[FECHA TERMINACIÓN INICIAL CONTRATO]]-Tabla1513[[#This Row],[FECHA INICIO CONTRATO]]</f>
        <v>364</v>
      </c>
      <c r="T251" s="24" t="s">
        <v>318</v>
      </c>
      <c r="U251" s="4"/>
      <c r="V251" s="24" t="s">
        <v>318</v>
      </c>
      <c r="W251" s="70">
        <v>45779</v>
      </c>
      <c r="X251" s="70">
        <v>46143</v>
      </c>
      <c r="Y251" s="70">
        <v>46143</v>
      </c>
      <c r="Z251" s="72" t="s">
        <v>319</v>
      </c>
      <c r="AA251" s="60"/>
      <c r="AB251" s="131"/>
      <c r="AC251" s="56" t="s">
        <v>312</v>
      </c>
      <c r="AD251" s="34"/>
      <c r="AE251" s="34"/>
      <c r="AF251" s="35"/>
      <c r="AG251" s="90" t="s">
        <v>1547</v>
      </c>
      <c r="AH251" s="63">
        <v>2025</v>
      </c>
    </row>
    <row r="252" spans="1:34" ht="29" x14ac:dyDescent="0.35">
      <c r="A252" s="55" t="s">
        <v>330</v>
      </c>
      <c r="B252" s="2" t="s">
        <v>473</v>
      </c>
      <c r="C252" s="30" t="s">
        <v>63</v>
      </c>
      <c r="D252" s="2" t="s">
        <v>313</v>
      </c>
      <c r="E252" s="96" t="s">
        <v>1471</v>
      </c>
      <c r="F252" s="70">
        <v>45779</v>
      </c>
      <c r="G252" s="30" t="s">
        <v>150</v>
      </c>
      <c r="H252" s="94" t="s">
        <v>909</v>
      </c>
      <c r="I252" s="111">
        <v>300000000</v>
      </c>
      <c r="J252" s="101">
        <v>57000000</v>
      </c>
      <c r="K252" s="47">
        <v>357000000</v>
      </c>
      <c r="L252" s="77" t="s">
        <v>84</v>
      </c>
      <c r="M252" s="54">
        <v>900879837</v>
      </c>
      <c r="N252" s="30" t="s">
        <v>111</v>
      </c>
      <c r="O252" s="2" t="s">
        <v>1473</v>
      </c>
      <c r="P252" s="73" t="s">
        <v>318</v>
      </c>
      <c r="Q252" s="3"/>
      <c r="R252" s="32">
        <f>+Tabla1513[[#This Row],[VALOR INICIAL DEL CONTRATO CON IVA]]+Tabla1513[[#This Row],[VALOR DE LAS ADICIONES CON IVA]]</f>
        <v>357000000</v>
      </c>
      <c r="S252" s="48">
        <f>+Tabla1513[[#This Row],[FECHA TERMINACIÓN INICIAL CONTRATO]]-Tabla1513[[#This Row],[FECHA INICIO CONTRATO]]</f>
        <v>364</v>
      </c>
      <c r="T252" s="24" t="s">
        <v>318</v>
      </c>
      <c r="U252" s="4"/>
      <c r="V252" s="24" t="s">
        <v>318</v>
      </c>
      <c r="W252" s="70">
        <v>45779</v>
      </c>
      <c r="X252" s="70">
        <v>46143</v>
      </c>
      <c r="Y252" s="70">
        <v>46143</v>
      </c>
      <c r="Z252" s="72" t="s">
        <v>319</v>
      </c>
      <c r="AA252" s="60"/>
      <c r="AB252" s="131"/>
      <c r="AC252" s="56" t="s">
        <v>312</v>
      </c>
      <c r="AD252" s="34"/>
      <c r="AE252" s="34"/>
      <c r="AF252" s="35"/>
      <c r="AG252" s="90" t="s">
        <v>1548</v>
      </c>
      <c r="AH252" s="63">
        <v>2025</v>
      </c>
    </row>
    <row r="253" spans="1:34" ht="29" x14ac:dyDescent="0.35">
      <c r="A253" s="55" t="s">
        <v>330</v>
      </c>
      <c r="B253" s="2" t="s">
        <v>473</v>
      </c>
      <c r="C253" s="30" t="s">
        <v>63</v>
      </c>
      <c r="D253" s="2" t="s">
        <v>313</v>
      </c>
      <c r="E253" s="96" t="s">
        <v>1401</v>
      </c>
      <c r="F253" s="70">
        <v>45779</v>
      </c>
      <c r="G253" s="30" t="s">
        <v>150</v>
      </c>
      <c r="H253" s="94" t="s">
        <v>909</v>
      </c>
      <c r="I253" s="111">
        <v>400000000</v>
      </c>
      <c r="J253" s="101">
        <v>76000000</v>
      </c>
      <c r="K253" s="47">
        <v>476000000</v>
      </c>
      <c r="L253" s="77" t="s">
        <v>84</v>
      </c>
      <c r="M253" s="54">
        <v>900724711</v>
      </c>
      <c r="N253" s="30" t="s">
        <v>85</v>
      </c>
      <c r="O253" s="2" t="s">
        <v>779</v>
      </c>
      <c r="P253" s="73" t="s">
        <v>318</v>
      </c>
      <c r="Q253" s="3"/>
      <c r="R253" s="32">
        <f>+Tabla1513[[#This Row],[VALOR INICIAL DEL CONTRATO CON IVA]]+Tabla1513[[#This Row],[VALOR DE LAS ADICIONES CON IVA]]</f>
        <v>476000000</v>
      </c>
      <c r="S253" s="48">
        <f>+Tabla1513[[#This Row],[FECHA TERMINACIÓN INICIAL CONTRATO]]-Tabla1513[[#This Row],[FECHA INICIO CONTRATO]]</f>
        <v>364</v>
      </c>
      <c r="T253" s="24" t="s">
        <v>318</v>
      </c>
      <c r="U253" s="4"/>
      <c r="V253" s="24" t="s">
        <v>318</v>
      </c>
      <c r="W253" s="70">
        <v>45779</v>
      </c>
      <c r="X253" s="70">
        <v>46143</v>
      </c>
      <c r="Y253" s="70">
        <v>46143</v>
      </c>
      <c r="Z253" s="72" t="s">
        <v>319</v>
      </c>
      <c r="AA253" s="60"/>
      <c r="AB253" s="131"/>
      <c r="AC253" s="56" t="s">
        <v>312</v>
      </c>
      <c r="AD253" s="34"/>
      <c r="AE253" s="34"/>
      <c r="AF253" s="35"/>
      <c r="AG253" s="90" t="s">
        <v>1645</v>
      </c>
      <c r="AH253" s="63">
        <v>2025</v>
      </c>
    </row>
    <row r="254" spans="1:34" ht="29" x14ac:dyDescent="0.35">
      <c r="A254" s="55" t="s">
        <v>330</v>
      </c>
      <c r="B254" s="2" t="s">
        <v>473</v>
      </c>
      <c r="C254" s="30" t="s">
        <v>63</v>
      </c>
      <c r="D254" s="2" t="s">
        <v>313</v>
      </c>
      <c r="E254" s="96" t="s">
        <v>1400</v>
      </c>
      <c r="F254" s="70">
        <v>45779</v>
      </c>
      <c r="G254" s="30" t="s">
        <v>150</v>
      </c>
      <c r="H254" s="94" t="s">
        <v>909</v>
      </c>
      <c r="I254" s="111">
        <v>400000000</v>
      </c>
      <c r="J254" s="101">
        <v>76000000</v>
      </c>
      <c r="K254" s="47">
        <v>476000000</v>
      </c>
      <c r="L254" s="77" t="s">
        <v>84</v>
      </c>
      <c r="M254" s="54">
        <v>900988897</v>
      </c>
      <c r="N254" s="30" t="s">
        <v>108</v>
      </c>
      <c r="O254" s="2" t="s">
        <v>777</v>
      </c>
      <c r="P254" s="73" t="s">
        <v>318</v>
      </c>
      <c r="Q254" s="3"/>
      <c r="R254" s="32">
        <f>+Tabla1513[[#This Row],[VALOR INICIAL DEL CONTRATO CON IVA]]+Tabla1513[[#This Row],[VALOR DE LAS ADICIONES CON IVA]]</f>
        <v>476000000</v>
      </c>
      <c r="S254" s="48">
        <f>+Tabla1513[[#This Row],[FECHA TERMINACIÓN INICIAL CONTRATO]]-Tabla1513[[#This Row],[FECHA INICIO CONTRATO]]</f>
        <v>364</v>
      </c>
      <c r="T254" s="24" t="s">
        <v>318</v>
      </c>
      <c r="U254" s="4"/>
      <c r="V254" s="24" t="s">
        <v>318</v>
      </c>
      <c r="W254" s="70">
        <v>45779</v>
      </c>
      <c r="X254" s="70">
        <v>46143</v>
      </c>
      <c r="Y254" s="70">
        <v>46143</v>
      </c>
      <c r="Z254" s="72" t="s">
        <v>319</v>
      </c>
      <c r="AA254" s="60"/>
      <c r="AB254" s="131"/>
      <c r="AC254" s="56" t="s">
        <v>312</v>
      </c>
      <c r="AD254" s="34"/>
      <c r="AE254" s="34"/>
      <c r="AF254" s="35"/>
      <c r="AG254" s="90" t="s">
        <v>1646</v>
      </c>
      <c r="AH254" s="63">
        <v>2025</v>
      </c>
    </row>
    <row r="255" spans="1:34" ht="29" x14ac:dyDescent="0.35">
      <c r="A255" s="55" t="s">
        <v>330</v>
      </c>
      <c r="B255" s="2" t="s">
        <v>473</v>
      </c>
      <c r="C255" s="30" t="s">
        <v>63</v>
      </c>
      <c r="D255" s="2" t="s">
        <v>313</v>
      </c>
      <c r="E255" s="96" t="s">
        <v>1394</v>
      </c>
      <c r="F255" s="70">
        <v>45779</v>
      </c>
      <c r="G255" s="30" t="s">
        <v>150</v>
      </c>
      <c r="H255" s="94" t="s">
        <v>909</v>
      </c>
      <c r="I255" s="111">
        <v>200000000</v>
      </c>
      <c r="J255" s="101">
        <v>38000000</v>
      </c>
      <c r="K255" s="47">
        <v>238000000</v>
      </c>
      <c r="L255" s="77" t="s">
        <v>84</v>
      </c>
      <c r="M255" s="54">
        <v>900448013</v>
      </c>
      <c r="N255" s="30" t="s">
        <v>108</v>
      </c>
      <c r="O255" s="2" t="s">
        <v>778</v>
      </c>
      <c r="P255" s="73" t="s">
        <v>318</v>
      </c>
      <c r="Q255" s="3"/>
      <c r="R255" s="32">
        <f>+Tabla1513[[#This Row],[VALOR INICIAL DEL CONTRATO CON IVA]]+Tabla1513[[#This Row],[VALOR DE LAS ADICIONES CON IVA]]</f>
        <v>238000000</v>
      </c>
      <c r="S255" s="48">
        <f>+Tabla1513[[#This Row],[FECHA TERMINACIÓN INICIAL CONTRATO]]-Tabla1513[[#This Row],[FECHA INICIO CONTRATO]]</f>
        <v>364</v>
      </c>
      <c r="T255" s="24" t="s">
        <v>318</v>
      </c>
      <c r="U255" s="4"/>
      <c r="V255" s="24" t="s">
        <v>318</v>
      </c>
      <c r="W255" s="70">
        <v>45779</v>
      </c>
      <c r="X255" s="70">
        <v>46143</v>
      </c>
      <c r="Y255" s="70">
        <v>46143</v>
      </c>
      <c r="Z255" s="72" t="s">
        <v>319</v>
      </c>
      <c r="AA255" s="60"/>
      <c r="AB255" s="131"/>
      <c r="AC255" s="56" t="s">
        <v>312</v>
      </c>
      <c r="AD255" s="34"/>
      <c r="AE255" s="34"/>
      <c r="AF255" s="35"/>
      <c r="AG255" s="36" t="s">
        <v>1549</v>
      </c>
      <c r="AH255" s="63">
        <v>2025</v>
      </c>
    </row>
    <row r="256" spans="1:34" ht="29" x14ac:dyDescent="0.35">
      <c r="A256" s="55" t="s">
        <v>330</v>
      </c>
      <c r="B256" s="2" t="s">
        <v>473</v>
      </c>
      <c r="C256" s="30" t="s">
        <v>63</v>
      </c>
      <c r="D256" s="2" t="s">
        <v>313</v>
      </c>
      <c r="E256" s="96" t="s">
        <v>1388</v>
      </c>
      <c r="F256" s="70">
        <v>45779</v>
      </c>
      <c r="G256" s="30" t="s">
        <v>150</v>
      </c>
      <c r="H256" s="94" t="s">
        <v>909</v>
      </c>
      <c r="I256" s="111">
        <v>100000000</v>
      </c>
      <c r="J256" s="101">
        <v>19000000</v>
      </c>
      <c r="K256" s="47">
        <v>119000000</v>
      </c>
      <c r="L256" s="77" t="s">
        <v>84</v>
      </c>
      <c r="M256" s="54">
        <v>901048445</v>
      </c>
      <c r="N256" s="30" t="s">
        <v>91</v>
      </c>
      <c r="O256" s="2" t="s">
        <v>1429</v>
      </c>
      <c r="P256" s="73" t="s">
        <v>318</v>
      </c>
      <c r="Q256" s="3"/>
      <c r="R256" s="32">
        <f>+Tabla1513[[#This Row],[VALOR INICIAL DEL CONTRATO CON IVA]]+Tabla1513[[#This Row],[VALOR DE LAS ADICIONES CON IVA]]</f>
        <v>119000000</v>
      </c>
      <c r="S256" s="48">
        <f>+Tabla1513[[#This Row],[FECHA TERMINACIÓN INICIAL CONTRATO]]-Tabla1513[[#This Row],[FECHA INICIO CONTRATO]]</f>
        <v>364</v>
      </c>
      <c r="T256" s="24" t="s">
        <v>318</v>
      </c>
      <c r="U256" s="4"/>
      <c r="V256" s="24" t="s">
        <v>318</v>
      </c>
      <c r="W256" s="70">
        <v>45779</v>
      </c>
      <c r="X256" s="70">
        <v>46143</v>
      </c>
      <c r="Y256" s="70">
        <v>46143</v>
      </c>
      <c r="Z256" s="72" t="s">
        <v>319</v>
      </c>
      <c r="AA256" s="60"/>
      <c r="AB256" s="131"/>
      <c r="AC256" s="56" t="s">
        <v>312</v>
      </c>
      <c r="AD256" s="34"/>
      <c r="AE256" s="34"/>
      <c r="AF256" s="35"/>
      <c r="AG256" s="36" t="s">
        <v>1658</v>
      </c>
      <c r="AH256" s="63">
        <v>2025</v>
      </c>
    </row>
    <row r="257" spans="1:34" ht="29" x14ac:dyDescent="0.35">
      <c r="A257" s="55" t="s">
        <v>330</v>
      </c>
      <c r="B257" s="2" t="s">
        <v>473</v>
      </c>
      <c r="C257" s="30" t="s">
        <v>63</v>
      </c>
      <c r="D257" s="2" t="s">
        <v>313</v>
      </c>
      <c r="E257" s="96" t="s">
        <v>1395</v>
      </c>
      <c r="F257" s="70">
        <v>45779</v>
      </c>
      <c r="G257" s="30" t="s">
        <v>150</v>
      </c>
      <c r="H257" s="94" t="s">
        <v>909</v>
      </c>
      <c r="I257" s="111">
        <v>200000000</v>
      </c>
      <c r="J257" s="101">
        <v>38000000</v>
      </c>
      <c r="K257" s="47">
        <v>238000000</v>
      </c>
      <c r="L257" s="77" t="s">
        <v>84</v>
      </c>
      <c r="M257" s="54">
        <v>901249547</v>
      </c>
      <c r="N257" s="30" t="s">
        <v>111</v>
      </c>
      <c r="O257" s="2" t="s">
        <v>1436</v>
      </c>
      <c r="P257" s="73" t="s">
        <v>318</v>
      </c>
      <c r="Q257" s="3"/>
      <c r="R257" s="32">
        <f>+Tabla1513[[#This Row],[VALOR INICIAL DEL CONTRATO CON IVA]]+Tabla1513[[#This Row],[VALOR DE LAS ADICIONES CON IVA]]</f>
        <v>238000000</v>
      </c>
      <c r="S257" s="48">
        <f>+Tabla1513[[#This Row],[FECHA TERMINACIÓN INICIAL CONTRATO]]-Tabla1513[[#This Row],[FECHA INICIO CONTRATO]]</f>
        <v>364</v>
      </c>
      <c r="T257" s="24" t="s">
        <v>318</v>
      </c>
      <c r="U257" s="4"/>
      <c r="V257" s="24" t="s">
        <v>318</v>
      </c>
      <c r="W257" s="70">
        <v>45779</v>
      </c>
      <c r="X257" s="70">
        <v>46143</v>
      </c>
      <c r="Y257" s="70">
        <v>46143</v>
      </c>
      <c r="Z257" s="72" t="s">
        <v>319</v>
      </c>
      <c r="AA257" s="60"/>
      <c r="AB257" s="131"/>
      <c r="AC257" s="56" t="s">
        <v>312</v>
      </c>
      <c r="AD257" s="34"/>
      <c r="AE257" s="34"/>
      <c r="AF257" s="35"/>
      <c r="AG257" s="36" t="s">
        <v>1550</v>
      </c>
      <c r="AH257" s="63">
        <v>2025</v>
      </c>
    </row>
    <row r="258" spans="1:34" ht="29" x14ac:dyDescent="0.35">
      <c r="A258" s="55" t="s">
        <v>330</v>
      </c>
      <c r="B258" s="2" t="s">
        <v>473</v>
      </c>
      <c r="C258" s="30" t="s">
        <v>63</v>
      </c>
      <c r="D258" s="2" t="s">
        <v>313</v>
      </c>
      <c r="E258" s="96" t="s">
        <v>1396</v>
      </c>
      <c r="F258" s="70">
        <v>45779</v>
      </c>
      <c r="G258" s="30" t="s">
        <v>150</v>
      </c>
      <c r="H258" s="94" t="s">
        <v>909</v>
      </c>
      <c r="I258" s="111">
        <v>150000000</v>
      </c>
      <c r="J258" s="101">
        <v>28500000</v>
      </c>
      <c r="K258" s="47">
        <v>178500000</v>
      </c>
      <c r="L258" s="77" t="s">
        <v>84</v>
      </c>
      <c r="M258" s="54">
        <v>901344641</v>
      </c>
      <c r="N258" s="30" t="s">
        <v>114</v>
      </c>
      <c r="O258" s="2" t="s">
        <v>1437</v>
      </c>
      <c r="P258" s="73" t="s">
        <v>318</v>
      </c>
      <c r="Q258" s="3"/>
      <c r="R258" s="32">
        <f>+Tabla1513[[#This Row],[VALOR INICIAL DEL CONTRATO CON IVA]]+Tabla1513[[#This Row],[VALOR DE LAS ADICIONES CON IVA]]</f>
        <v>178500000</v>
      </c>
      <c r="S258" s="48">
        <f>+Tabla1513[[#This Row],[FECHA TERMINACIÓN INICIAL CONTRATO]]-Tabla1513[[#This Row],[FECHA INICIO CONTRATO]]</f>
        <v>364</v>
      </c>
      <c r="T258" s="24" t="s">
        <v>318</v>
      </c>
      <c r="U258" s="4"/>
      <c r="V258" s="24" t="s">
        <v>318</v>
      </c>
      <c r="W258" s="70">
        <v>45779</v>
      </c>
      <c r="X258" s="70">
        <v>46143</v>
      </c>
      <c r="Y258" s="70">
        <v>46143</v>
      </c>
      <c r="Z258" s="72" t="s">
        <v>319</v>
      </c>
      <c r="AA258" s="60"/>
      <c r="AB258" s="131"/>
      <c r="AC258" s="56" t="s">
        <v>312</v>
      </c>
      <c r="AD258" s="34"/>
      <c r="AE258" s="34"/>
      <c r="AF258" s="35"/>
      <c r="AG258" s="36" t="s">
        <v>1551</v>
      </c>
      <c r="AH258" s="63">
        <v>2025</v>
      </c>
    </row>
    <row r="259" spans="1:34" ht="29" x14ac:dyDescent="0.35">
      <c r="A259" s="55" t="s">
        <v>330</v>
      </c>
      <c r="B259" s="2" t="s">
        <v>473</v>
      </c>
      <c r="C259" s="30" t="s">
        <v>63</v>
      </c>
      <c r="D259" s="2" t="s">
        <v>313</v>
      </c>
      <c r="E259" s="96" t="s">
        <v>1397</v>
      </c>
      <c r="F259" s="70">
        <v>45779</v>
      </c>
      <c r="G259" s="30" t="s">
        <v>150</v>
      </c>
      <c r="H259" s="94" t="s">
        <v>909</v>
      </c>
      <c r="I259" s="111">
        <v>150000000</v>
      </c>
      <c r="J259" s="101">
        <v>28500000</v>
      </c>
      <c r="K259" s="47">
        <v>178500000</v>
      </c>
      <c r="L259" s="77" t="s">
        <v>84</v>
      </c>
      <c r="M259" s="54">
        <v>901313312</v>
      </c>
      <c r="N259" s="30" t="s">
        <v>111</v>
      </c>
      <c r="O259" s="2" t="s">
        <v>1438</v>
      </c>
      <c r="P259" s="73" t="s">
        <v>318</v>
      </c>
      <c r="Q259" s="3"/>
      <c r="R259" s="32">
        <f>+Tabla1513[[#This Row],[VALOR INICIAL DEL CONTRATO CON IVA]]+Tabla1513[[#This Row],[VALOR DE LAS ADICIONES CON IVA]]</f>
        <v>178500000</v>
      </c>
      <c r="S259" s="48">
        <f>+Tabla1513[[#This Row],[FECHA TERMINACIÓN INICIAL CONTRATO]]-Tabla1513[[#This Row],[FECHA INICIO CONTRATO]]</f>
        <v>364</v>
      </c>
      <c r="T259" s="24" t="s">
        <v>318</v>
      </c>
      <c r="U259" s="4"/>
      <c r="V259" s="24" t="s">
        <v>318</v>
      </c>
      <c r="W259" s="70">
        <v>45779</v>
      </c>
      <c r="X259" s="70">
        <v>46143</v>
      </c>
      <c r="Y259" s="70">
        <v>46143</v>
      </c>
      <c r="Z259" s="72" t="s">
        <v>319</v>
      </c>
      <c r="AA259" s="60"/>
      <c r="AB259" s="131"/>
      <c r="AC259" s="56" t="s">
        <v>312</v>
      </c>
      <c r="AD259" s="34"/>
      <c r="AE259" s="34"/>
      <c r="AF259" s="35"/>
      <c r="AG259" s="36" t="s">
        <v>1469</v>
      </c>
      <c r="AH259" s="63">
        <v>2025</v>
      </c>
    </row>
    <row r="260" spans="1:34" ht="29" x14ac:dyDescent="0.35">
      <c r="A260" s="55" t="s">
        <v>330</v>
      </c>
      <c r="B260" s="2" t="s">
        <v>473</v>
      </c>
      <c r="C260" s="30" t="s">
        <v>63</v>
      </c>
      <c r="D260" s="2" t="s">
        <v>313</v>
      </c>
      <c r="E260" s="96" t="s">
        <v>1387</v>
      </c>
      <c r="F260" s="70">
        <v>45777</v>
      </c>
      <c r="G260" s="30" t="s">
        <v>150</v>
      </c>
      <c r="H260" s="94" t="s">
        <v>909</v>
      </c>
      <c r="I260" s="111">
        <v>400000000</v>
      </c>
      <c r="J260" s="101">
        <v>76000000</v>
      </c>
      <c r="K260" s="47">
        <v>476000000</v>
      </c>
      <c r="L260" s="77" t="s">
        <v>84</v>
      </c>
      <c r="M260" s="54">
        <v>900710007</v>
      </c>
      <c r="N260" s="30" t="s">
        <v>97</v>
      </c>
      <c r="O260" s="2" t="s">
        <v>1428</v>
      </c>
      <c r="P260" s="73" t="s">
        <v>318</v>
      </c>
      <c r="Q260" s="3"/>
      <c r="R260" s="32">
        <f>+Tabla1513[[#This Row],[VALOR INICIAL DEL CONTRATO CON IVA]]+Tabla1513[[#This Row],[VALOR DE LAS ADICIONES CON IVA]]</f>
        <v>476000000</v>
      </c>
      <c r="S260" s="48">
        <f>+Tabla1513[[#This Row],[FECHA TERMINACIÓN INICIAL CONTRATO]]-Tabla1513[[#This Row],[FECHA INICIO CONTRATO]]</f>
        <v>364</v>
      </c>
      <c r="T260" s="24" t="s">
        <v>318</v>
      </c>
      <c r="U260" s="4"/>
      <c r="V260" s="24" t="s">
        <v>318</v>
      </c>
      <c r="W260" s="70">
        <v>45780</v>
      </c>
      <c r="X260" s="70">
        <v>46144</v>
      </c>
      <c r="Y260" s="70">
        <v>46144</v>
      </c>
      <c r="Z260" s="72" t="s">
        <v>319</v>
      </c>
      <c r="AA260" s="60"/>
      <c r="AB260" s="131"/>
      <c r="AC260" s="56" t="s">
        <v>312</v>
      </c>
      <c r="AD260" s="34"/>
      <c r="AE260" s="34"/>
      <c r="AF260" s="35"/>
      <c r="AG260" s="36" t="s">
        <v>1647</v>
      </c>
      <c r="AH260" s="63">
        <v>2025</v>
      </c>
    </row>
    <row r="261" spans="1:34" ht="29" x14ac:dyDescent="0.35">
      <c r="A261" s="55" t="s">
        <v>330</v>
      </c>
      <c r="B261" s="2" t="s">
        <v>11</v>
      </c>
      <c r="C261" s="30" t="s">
        <v>19</v>
      </c>
      <c r="D261" s="2" t="s">
        <v>313</v>
      </c>
      <c r="E261" s="96" t="s">
        <v>1474</v>
      </c>
      <c r="F261" s="70">
        <v>45785</v>
      </c>
      <c r="G261" s="30" t="s">
        <v>113</v>
      </c>
      <c r="H261" s="94" t="s">
        <v>1475</v>
      </c>
      <c r="I261" s="111">
        <v>70888902</v>
      </c>
      <c r="J261" s="101">
        <v>0</v>
      </c>
      <c r="K261" s="47">
        <v>70888902</v>
      </c>
      <c r="L261" s="77" t="s">
        <v>84</v>
      </c>
      <c r="M261" s="54">
        <v>900531376</v>
      </c>
      <c r="N261" s="30" t="s">
        <v>117</v>
      </c>
      <c r="O261" s="2" t="s">
        <v>499</v>
      </c>
      <c r="P261" s="73" t="s">
        <v>318</v>
      </c>
      <c r="Q261" s="3"/>
      <c r="R261" s="32">
        <f>+Tabla1513[[#This Row],[VALOR INICIAL DEL CONTRATO CON IVA]]+Tabla1513[[#This Row],[VALOR DE LAS ADICIONES CON IVA]]</f>
        <v>70888902</v>
      </c>
      <c r="S261" s="48">
        <f>+Tabla1513[[#This Row],[FECHA TERMINACIÓN INICIAL CONTRATO]]-Tabla1513[[#This Row],[FECHA INICIO CONTRATO]]</f>
        <v>60</v>
      </c>
      <c r="T261" s="24" t="s">
        <v>318</v>
      </c>
      <c r="U261" s="4"/>
      <c r="V261" s="24" t="s">
        <v>318</v>
      </c>
      <c r="W261" s="70">
        <v>45785</v>
      </c>
      <c r="X261" s="70">
        <v>45845</v>
      </c>
      <c r="Y261" s="70">
        <v>45845</v>
      </c>
      <c r="Z261" s="72" t="s">
        <v>405</v>
      </c>
      <c r="AA261" s="60"/>
      <c r="AB261" s="60" t="s">
        <v>406</v>
      </c>
      <c r="AC261" s="56" t="s">
        <v>1062</v>
      </c>
      <c r="AD261" s="34"/>
      <c r="AE261" s="34"/>
      <c r="AF261" s="35"/>
      <c r="AG261" s="36" t="s">
        <v>1552</v>
      </c>
      <c r="AH261" s="63">
        <v>2025</v>
      </c>
    </row>
    <row r="262" spans="1:34" ht="29" x14ac:dyDescent="0.35">
      <c r="A262" s="55" t="s">
        <v>330</v>
      </c>
      <c r="B262" s="2" t="s">
        <v>473</v>
      </c>
      <c r="C262" s="30" t="s">
        <v>63</v>
      </c>
      <c r="D262" s="2" t="s">
        <v>313</v>
      </c>
      <c r="E262" s="96" t="s">
        <v>1389</v>
      </c>
      <c r="F262" s="70">
        <v>45785</v>
      </c>
      <c r="G262" s="30" t="s">
        <v>150</v>
      </c>
      <c r="H262" s="94" t="s">
        <v>909</v>
      </c>
      <c r="I262" s="111">
        <v>150000000</v>
      </c>
      <c r="J262" s="101">
        <v>28500000</v>
      </c>
      <c r="K262" s="47">
        <v>178500000</v>
      </c>
      <c r="L262" s="77" t="s">
        <v>84</v>
      </c>
      <c r="M262" s="54">
        <v>901361847</v>
      </c>
      <c r="N262" s="30" t="s">
        <v>120</v>
      </c>
      <c r="O262" s="2" t="s">
        <v>784</v>
      </c>
      <c r="P262" s="73" t="s">
        <v>318</v>
      </c>
      <c r="Q262" s="3"/>
      <c r="R262" s="32">
        <f>+Tabla1513[[#This Row],[VALOR INICIAL DEL CONTRATO CON IVA]]+Tabla1513[[#This Row],[VALOR DE LAS ADICIONES CON IVA]]</f>
        <v>178500000</v>
      </c>
      <c r="S262" s="48">
        <f>+Tabla1513[[#This Row],[FECHA TERMINACIÓN INICIAL CONTRATO]]-Tabla1513[[#This Row],[FECHA INICIO CONTRATO]]</f>
        <v>364</v>
      </c>
      <c r="T262" s="24" t="s">
        <v>318</v>
      </c>
      <c r="U262" s="4"/>
      <c r="V262" s="24" t="s">
        <v>318</v>
      </c>
      <c r="W262" s="70">
        <v>45785</v>
      </c>
      <c r="X262" s="70">
        <v>46149</v>
      </c>
      <c r="Y262" s="70">
        <v>46149</v>
      </c>
      <c r="Z262" s="72" t="s">
        <v>319</v>
      </c>
      <c r="AA262" s="60"/>
      <c r="AB262" s="131"/>
      <c r="AC262" s="56" t="s">
        <v>312</v>
      </c>
      <c r="AD262" s="34"/>
      <c r="AE262" s="34"/>
      <c r="AF262" s="35"/>
      <c r="AG262" s="36" t="s">
        <v>1553</v>
      </c>
      <c r="AH262" s="63">
        <v>2025</v>
      </c>
    </row>
    <row r="263" spans="1:34" ht="29" x14ac:dyDescent="0.35">
      <c r="A263" s="55" t="s">
        <v>330</v>
      </c>
      <c r="B263" s="2" t="s">
        <v>473</v>
      </c>
      <c r="C263" s="30" t="s">
        <v>63</v>
      </c>
      <c r="D263" s="2" t="s">
        <v>313</v>
      </c>
      <c r="E263" s="96" t="s">
        <v>1386</v>
      </c>
      <c r="F263" s="70">
        <v>45790</v>
      </c>
      <c r="G263" s="30" t="s">
        <v>150</v>
      </c>
      <c r="H263" s="94" t="s">
        <v>909</v>
      </c>
      <c r="I263" s="111">
        <v>150000000</v>
      </c>
      <c r="J263" s="101">
        <v>28500000</v>
      </c>
      <c r="K263" s="47">
        <v>178500000</v>
      </c>
      <c r="L263" s="77" t="s">
        <v>84</v>
      </c>
      <c r="M263" s="54">
        <v>901258576</v>
      </c>
      <c r="N263" s="30" t="s">
        <v>117</v>
      </c>
      <c r="O263" s="2" t="s">
        <v>785</v>
      </c>
      <c r="P263" s="73" t="s">
        <v>318</v>
      </c>
      <c r="Q263" s="3"/>
      <c r="R263" s="32">
        <f>+Tabla1513[[#This Row],[VALOR INICIAL DEL CONTRATO CON IVA]]+Tabla1513[[#This Row],[VALOR DE LAS ADICIONES CON IVA]]</f>
        <v>178500000</v>
      </c>
      <c r="S263" s="48">
        <f>+Tabla1513[[#This Row],[FECHA TERMINACIÓN INICIAL CONTRATO]]-Tabla1513[[#This Row],[FECHA INICIO CONTRATO]]</f>
        <v>364</v>
      </c>
      <c r="T263" s="24" t="s">
        <v>318</v>
      </c>
      <c r="U263" s="4"/>
      <c r="V263" s="24" t="s">
        <v>318</v>
      </c>
      <c r="W263" s="70">
        <v>45793</v>
      </c>
      <c r="X263" s="70">
        <v>46157</v>
      </c>
      <c r="Y263" s="70">
        <v>46157</v>
      </c>
      <c r="Z263" s="72" t="s">
        <v>319</v>
      </c>
      <c r="AA263" s="60"/>
      <c r="AB263" s="131"/>
      <c r="AC263" s="56" t="s">
        <v>312</v>
      </c>
      <c r="AD263" s="34"/>
      <c r="AE263" s="34"/>
      <c r="AF263" s="35"/>
      <c r="AG263" s="36" t="s">
        <v>1626</v>
      </c>
      <c r="AH263" s="63">
        <v>2025</v>
      </c>
    </row>
    <row r="264" spans="1:34" ht="43.5" x14ac:dyDescent="0.35">
      <c r="A264" s="55" t="s">
        <v>330</v>
      </c>
      <c r="B264" s="2" t="s">
        <v>422</v>
      </c>
      <c r="C264" s="30" t="s">
        <v>46</v>
      </c>
      <c r="D264" s="2" t="s">
        <v>313</v>
      </c>
      <c r="E264" s="96" t="s">
        <v>1372</v>
      </c>
      <c r="F264" s="70">
        <v>45790</v>
      </c>
      <c r="G264" s="30" t="s">
        <v>150</v>
      </c>
      <c r="H264" s="94" t="s">
        <v>1642</v>
      </c>
      <c r="I264" s="111">
        <v>542929508</v>
      </c>
      <c r="J264" s="101">
        <v>103156606</v>
      </c>
      <c r="K264" s="47">
        <v>646086114</v>
      </c>
      <c r="L264" s="77" t="s">
        <v>84</v>
      </c>
      <c r="M264" s="54">
        <v>800057767</v>
      </c>
      <c r="N264" s="30" t="s">
        <v>120</v>
      </c>
      <c r="O264" s="2" t="s">
        <v>1412</v>
      </c>
      <c r="P264" s="73" t="s">
        <v>318</v>
      </c>
      <c r="Q264" s="3"/>
      <c r="R264" s="32">
        <f>+Tabla1513[[#This Row],[VALOR INICIAL DEL CONTRATO CON IVA]]+Tabla1513[[#This Row],[VALOR DE LAS ADICIONES CON IVA]]</f>
        <v>646086114</v>
      </c>
      <c r="S264" s="48">
        <f>+Tabla1513[[#This Row],[FECHA TERMINACIÓN INICIAL CONTRATO]]-Tabla1513[[#This Row],[FECHA INICIO CONTRATO]]</f>
        <v>729</v>
      </c>
      <c r="T264" s="24" t="s">
        <v>318</v>
      </c>
      <c r="U264" s="4"/>
      <c r="V264" s="24" t="s">
        <v>318</v>
      </c>
      <c r="W264" s="70">
        <v>45796</v>
      </c>
      <c r="X264" s="70">
        <v>46525</v>
      </c>
      <c r="Y264" s="70">
        <v>46525</v>
      </c>
      <c r="Z264" s="72" t="s">
        <v>319</v>
      </c>
      <c r="AA264" s="60"/>
      <c r="AB264" s="131"/>
      <c r="AC264" s="56" t="s">
        <v>574</v>
      </c>
      <c r="AD264" s="34"/>
      <c r="AE264" s="34"/>
      <c r="AF264" s="35"/>
      <c r="AG264" s="36" t="s">
        <v>1554</v>
      </c>
      <c r="AH264" s="63">
        <v>2025</v>
      </c>
    </row>
    <row r="265" spans="1:34" ht="72.5" x14ac:dyDescent="0.35">
      <c r="A265" s="55" t="s">
        <v>330</v>
      </c>
      <c r="B265" s="2" t="s">
        <v>11</v>
      </c>
      <c r="C265" s="30" t="s">
        <v>20</v>
      </c>
      <c r="D265" s="2" t="s">
        <v>313</v>
      </c>
      <c r="E265" s="96" t="s">
        <v>1376</v>
      </c>
      <c r="F265" s="70">
        <v>45792</v>
      </c>
      <c r="G265" s="30" t="s">
        <v>113</v>
      </c>
      <c r="H265" s="94" t="s">
        <v>1417</v>
      </c>
      <c r="I265" s="111">
        <v>18590000</v>
      </c>
      <c r="J265" s="101">
        <v>3532100</v>
      </c>
      <c r="K265" s="47">
        <v>22122100</v>
      </c>
      <c r="L265" s="77" t="s">
        <v>84</v>
      </c>
      <c r="M265" s="54">
        <v>830044885</v>
      </c>
      <c r="N265" s="30" t="s">
        <v>91</v>
      </c>
      <c r="O265" s="2" t="s">
        <v>1418</v>
      </c>
      <c r="P265" s="73" t="s">
        <v>318</v>
      </c>
      <c r="Q265" s="3"/>
      <c r="R265" s="32">
        <f>+Tabla1513[[#This Row],[VALOR INICIAL DEL CONTRATO CON IVA]]+Tabla1513[[#This Row],[VALOR DE LAS ADICIONES CON IVA]]</f>
        <v>22122100</v>
      </c>
      <c r="S265" s="48">
        <f>+Tabla1513[[#This Row],[FECHA TERMINACIÓN INICIAL CONTRATO]]-Tabla1513[[#This Row],[FECHA INICIO CONTRATO]]</f>
        <v>219</v>
      </c>
      <c r="T265" s="24" t="s">
        <v>318</v>
      </c>
      <c r="U265" s="4"/>
      <c r="V265" s="24" t="s">
        <v>318</v>
      </c>
      <c r="W265" s="70">
        <v>45803</v>
      </c>
      <c r="X265" s="70">
        <v>46022</v>
      </c>
      <c r="Y265" s="70">
        <v>46022</v>
      </c>
      <c r="Z265" s="72" t="s">
        <v>319</v>
      </c>
      <c r="AA265" s="60"/>
      <c r="AB265" s="131"/>
      <c r="AC265" s="56" t="s">
        <v>1447</v>
      </c>
      <c r="AD265" s="34"/>
      <c r="AE265" s="34"/>
      <c r="AF265" s="35"/>
      <c r="AG265" s="36" t="s">
        <v>1627</v>
      </c>
      <c r="AH265" s="63">
        <v>2025</v>
      </c>
    </row>
    <row r="266" spans="1:34" ht="29" x14ac:dyDescent="0.35">
      <c r="A266" s="55" t="s">
        <v>330</v>
      </c>
      <c r="B266" s="2" t="s">
        <v>422</v>
      </c>
      <c r="C266" s="30" t="s">
        <v>45</v>
      </c>
      <c r="D266" s="2" t="s">
        <v>313</v>
      </c>
      <c r="E266" s="96" t="s">
        <v>1476</v>
      </c>
      <c r="F266" s="70">
        <v>45797</v>
      </c>
      <c r="G266" s="30" t="s">
        <v>150</v>
      </c>
      <c r="H266" s="94" t="s">
        <v>1477</v>
      </c>
      <c r="I266" s="111">
        <v>593591800</v>
      </c>
      <c r="J266" s="101">
        <v>0</v>
      </c>
      <c r="K266" s="47">
        <v>593591800</v>
      </c>
      <c r="L266" s="77" t="s">
        <v>84</v>
      </c>
      <c r="M266" s="54">
        <v>1716369</v>
      </c>
      <c r="N266" s="30"/>
      <c r="O266" s="2" t="s">
        <v>565</v>
      </c>
      <c r="P266" s="73" t="s">
        <v>318</v>
      </c>
      <c r="Q266" s="3"/>
      <c r="R266" s="32">
        <f>+Tabla1513[[#This Row],[VALOR INICIAL DEL CONTRATO CON IVA]]+Tabla1513[[#This Row],[VALOR DE LAS ADICIONES CON IVA]]</f>
        <v>593591800</v>
      </c>
      <c r="S266" s="48">
        <f>+Tabla1513[[#This Row],[FECHA TERMINACIÓN INICIAL CONTRATO]]-Tabla1513[[#This Row],[FECHA INICIO CONTRATO]]</f>
        <v>729</v>
      </c>
      <c r="T266" s="24" t="s">
        <v>318</v>
      </c>
      <c r="U266" s="4"/>
      <c r="V266" s="24" t="s">
        <v>318</v>
      </c>
      <c r="W266" s="70">
        <v>45809</v>
      </c>
      <c r="X266" s="70">
        <v>46538</v>
      </c>
      <c r="Y266" s="70">
        <v>46538</v>
      </c>
      <c r="Z266" s="72" t="s">
        <v>319</v>
      </c>
      <c r="AA266" s="60"/>
      <c r="AB266" s="131"/>
      <c r="AC266" s="56" t="s">
        <v>424</v>
      </c>
      <c r="AD266" s="34"/>
      <c r="AE266" s="34"/>
      <c r="AF266" s="35"/>
      <c r="AG266" s="90" t="s">
        <v>1810</v>
      </c>
      <c r="AH266" s="63">
        <v>2025</v>
      </c>
    </row>
    <row r="267" spans="1:34" ht="29" x14ac:dyDescent="0.35">
      <c r="A267" s="55" t="s">
        <v>330</v>
      </c>
      <c r="B267" s="2" t="s">
        <v>422</v>
      </c>
      <c r="C267" s="2" t="s">
        <v>43</v>
      </c>
      <c r="D267" s="2" t="s">
        <v>313</v>
      </c>
      <c r="E267" s="96" t="s">
        <v>1478</v>
      </c>
      <c r="F267" s="70">
        <v>45792</v>
      </c>
      <c r="G267" s="30" t="s">
        <v>150</v>
      </c>
      <c r="H267" s="94" t="s">
        <v>1479</v>
      </c>
      <c r="I267" s="111">
        <v>56000000</v>
      </c>
      <c r="J267" s="101"/>
      <c r="K267" s="47">
        <v>56000000</v>
      </c>
      <c r="L267" s="77" t="s">
        <v>96</v>
      </c>
      <c r="M267" s="54">
        <v>1093763287</v>
      </c>
      <c r="N267" s="30"/>
      <c r="O267" s="2" t="s">
        <v>1480</v>
      </c>
      <c r="P267" s="73" t="s">
        <v>318</v>
      </c>
      <c r="Q267" s="3"/>
      <c r="R267" s="32">
        <f>+Tabla1513[[#This Row],[VALOR INICIAL DEL CONTRATO CON IVA]]+Tabla1513[[#This Row],[VALOR DE LAS ADICIONES CON IVA]]</f>
        <v>56000000</v>
      </c>
      <c r="S267" s="48">
        <f>+Tabla1513[[#This Row],[FECHA TERMINACIÓN INICIAL CONTRATO]]-Tabla1513[[#This Row],[FECHA INICIO CONTRATO]]</f>
        <v>213</v>
      </c>
      <c r="T267" s="24" t="s">
        <v>318</v>
      </c>
      <c r="U267" s="4"/>
      <c r="V267" s="24" t="s">
        <v>318</v>
      </c>
      <c r="W267" s="70">
        <v>45792</v>
      </c>
      <c r="X267" s="70">
        <v>46005</v>
      </c>
      <c r="Y267" s="70">
        <v>46005</v>
      </c>
      <c r="Z267" s="72" t="s">
        <v>319</v>
      </c>
      <c r="AA267" s="60"/>
      <c r="AB267" s="131"/>
      <c r="AC267" s="56" t="s">
        <v>434</v>
      </c>
      <c r="AD267" s="34"/>
      <c r="AE267" s="34"/>
      <c r="AF267" s="35"/>
      <c r="AG267" s="90" t="s">
        <v>1659</v>
      </c>
      <c r="AH267" s="63">
        <v>2025</v>
      </c>
    </row>
    <row r="268" spans="1:34" ht="43.5" x14ac:dyDescent="0.35">
      <c r="A268" s="55" t="s">
        <v>330</v>
      </c>
      <c r="B268" s="2" t="s">
        <v>440</v>
      </c>
      <c r="C268" s="30" t="s">
        <v>818</v>
      </c>
      <c r="D268" s="2" t="s">
        <v>313</v>
      </c>
      <c r="E268" s="96" t="s">
        <v>1378</v>
      </c>
      <c r="F268" s="70">
        <v>45792</v>
      </c>
      <c r="G268" s="30" t="s">
        <v>150</v>
      </c>
      <c r="H268" s="94" t="s">
        <v>1421</v>
      </c>
      <c r="I268" s="111">
        <v>53834316</v>
      </c>
      <c r="J268" s="101">
        <v>0</v>
      </c>
      <c r="K268" s="47">
        <v>53834316</v>
      </c>
      <c r="L268" s="77" t="s">
        <v>96</v>
      </c>
      <c r="M268" s="54">
        <v>84452202</v>
      </c>
      <c r="N268" s="30"/>
      <c r="O268" s="2" t="s">
        <v>1422</v>
      </c>
      <c r="P268" s="73" t="s">
        <v>318</v>
      </c>
      <c r="Q268" s="3"/>
      <c r="R268" s="32">
        <f>+Tabla1513[[#This Row],[VALOR INICIAL DEL CONTRATO CON IVA]]+Tabla1513[[#This Row],[VALOR DE LAS ADICIONES CON IVA]]</f>
        <v>53834316</v>
      </c>
      <c r="S268" s="48">
        <f>+Tabla1513[[#This Row],[FECHA TERMINACIÓN INICIAL CONTRATO]]-Tabla1513[[#This Row],[FECHA INICIO CONTRATO]]</f>
        <v>209</v>
      </c>
      <c r="T268" s="24" t="s">
        <v>318</v>
      </c>
      <c r="U268" s="4"/>
      <c r="V268" s="24" t="s">
        <v>318</v>
      </c>
      <c r="W268" s="70">
        <v>45813</v>
      </c>
      <c r="X268" s="70">
        <v>46022</v>
      </c>
      <c r="Y268" s="70">
        <v>46022</v>
      </c>
      <c r="Z268" s="72" t="s">
        <v>319</v>
      </c>
      <c r="AA268" s="60"/>
      <c r="AB268" s="131"/>
      <c r="AC268" s="56" t="s">
        <v>441</v>
      </c>
      <c r="AD268" s="34"/>
      <c r="AE268" s="34"/>
      <c r="AF268" s="35"/>
      <c r="AG268" s="90" t="s">
        <v>1555</v>
      </c>
      <c r="AH268" s="63">
        <v>2025</v>
      </c>
    </row>
    <row r="269" spans="1:34" ht="43.5" x14ac:dyDescent="0.35">
      <c r="A269" s="55" t="s">
        <v>330</v>
      </c>
      <c r="B269" s="2" t="s">
        <v>31</v>
      </c>
      <c r="C269" s="30" t="s">
        <v>912</v>
      </c>
      <c r="D269" s="2" t="s">
        <v>313</v>
      </c>
      <c r="E269" s="96" t="s">
        <v>1481</v>
      </c>
      <c r="F269" s="70">
        <v>45792</v>
      </c>
      <c r="G269" s="30" t="s">
        <v>150</v>
      </c>
      <c r="H269" s="94" t="s">
        <v>1482</v>
      </c>
      <c r="I269" s="111">
        <v>18278400</v>
      </c>
      <c r="J269" s="101">
        <v>3472896</v>
      </c>
      <c r="K269" s="47">
        <v>21751296</v>
      </c>
      <c r="L269" s="77" t="s">
        <v>84</v>
      </c>
      <c r="M269" s="54">
        <v>800058607</v>
      </c>
      <c r="N269" s="30" t="s">
        <v>97</v>
      </c>
      <c r="O269" s="2" t="s">
        <v>505</v>
      </c>
      <c r="P269" s="73" t="s">
        <v>318</v>
      </c>
      <c r="Q269" s="3"/>
      <c r="R269" s="32">
        <f>+Tabla1513[[#This Row],[VALOR INICIAL DEL CONTRATO CON IVA]]+Tabla1513[[#This Row],[VALOR DE LAS ADICIONES CON IVA]]</f>
        <v>21751296</v>
      </c>
      <c r="S269" s="48">
        <f>+Tabla1513[[#This Row],[FECHA TERMINACIÓN INICIAL CONTRATO]]-Tabla1513[[#This Row],[FECHA INICIO CONTRATO]]</f>
        <v>188</v>
      </c>
      <c r="T269" s="24" t="s">
        <v>318</v>
      </c>
      <c r="U269" s="4"/>
      <c r="V269" s="24" t="s">
        <v>318</v>
      </c>
      <c r="W269" s="70">
        <v>45803</v>
      </c>
      <c r="X269" s="70">
        <v>45991</v>
      </c>
      <c r="Y269" s="70">
        <v>45991</v>
      </c>
      <c r="Z269" s="72" t="s">
        <v>319</v>
      </c>
      <c r="AA269" s="60"/>
      <c r="AB269" s="131"/>
      <c r="AC269" s="56" t="s">
        <v>477</v>
      </c>
      <c r="AD269" s="34"/>
      <c r="AE269" s="34"/>
      <c r="AF269" s="35"/>
      <c r="AG269" s="90" t="s">
        <v>1660</v>
      </c>
      <c r="AH269" s="63">
        <v>2025</v>
      </c>
    </row>
    <row r="270" spans="1:34" ht="43.5" x14ac:dyDescent="0.35">
      <c r="A270" s="55" t="s">
        <v>330</v>
      </c>
      <c r="B270" s="2" t="s">
        <v>440</v>
      </c>
      <c r="C270" s="30" t="s">
        <v>818</v>
      </c>
      <c r="D270" s="2" t="s">
        <v>313</v>
      </c>
      <c r="E270" s="96" t="s">
        <v>1379</v>
      </c>
      <c r="F270" s="70">
        <v>45792</v>
      </c>
      <c r="G270" s="30" t="s">
        <v>150</v>
      </c>
      <c r="H270" s="94" t="s">
        <v>1423</v>
      </c>
      <c r="I270" s="111">
        <v>24370883</v>
      </c>
      <c r="J270" s="101">
        <v>0</v>
      </c>
      <c r="K270" s="47">
        <v>24370883</v>
      </c>
      <c r="L270" s="77" t="s">
        <v>96</v>
      </c>
      <c r="M270" s="54">
        <v>1116856979</v>
      </c>
      <c r="N270" s="30"/>
      <c r="O270" s="2" t="s">
        <v>1424</v>
      </c>
      <c r="P270" s="73" t="s">
        <v>318</v>
      </c>
      <c r="Q270" s="3"/>
      <c r="R270" s="32">
        <f>+Tabla1513[[#This Row],[VALOR INICIAL DEL CONTRATO CON IVA]]+Tabla1513[[#This Row],[VALOR DE LAS ADICIONES CON IVA]]</f>
        <v>24370883</v>
      </c>
      <c r="S270" s="48">
        <f>+Tabla1513[[#This Row],[FECHA TERMINACIÓN INICIAL CONTRATO]]-Tabla1513[[#This Row],[FECHA INICIO CONTRATO]]</f>
        <v>209</v>
      </c>
      <c r="T270" s="24" t="s">
        <v>318</v>
      </c>
      <c r="U270" s="4"/>
      <c r="V270" s="24" t="s">
        <v>318</v>
      </c>
      <c r="W270" s="70">
        <v>45813</v>
      </c>
      <c r="X270" s="70">
        <v>46022</v>
      </c>
      <c r="Y270" s="70">
        <v>46022</v>
      </c>
      <c r="Z270" s="72" t="s">
        <v>319</v>
      </c>
      <c r="AA270" s="60"/>
      <c r="AB270" s="131"/>
      <c r="AC270" s="56" t="s">
        <v>441</v>
      </c>
      <c r="AD270" s="34"/>
      <c r="AE270" s="34"/>
      <c r="AF270" s="35"/>
      <c r="AG270" s="90" t="s">
        <v>1661</v>
      </c>
      <c r="AH270" s="63">
        <v>2025</v>
      </c>
    </row>
    <row r="271" spans="1:34" ht="43.5" x14ac:dyDescent="0.35">
      <c r="A271" s="55" t="s">
        <v>330</v>
      </c>
      <c r="B271" s="2" t="s">
        <v>440</v>
      </c>
      <c r="C271" s="30" t="s">
        <v>818</v>
      </c>
      <c r="D271" s="2" t="s">
        <v>313</v>
      </c>
      <c r="E271" s="96" t="s">
        <v>1483</v>
      </c>
      <c r="F271" s="70">
        <v>45793</v>
      </c>
      <c r="G271" s="30" t="s">
        <v>150</v>
      </c>
      <c r="H271" s="94" t="s">
        <v>1423</v>
      </c>
      <c r="I271" s="111">
        <v>24370920</v>
      </c>
      <c r="J271" s="101">
        <v>0</v>
      </c>
      <c r="K271" s="47">
        <v>24370920</v>
      </c>
      <c r="L271" s="77" t="s">
        <v>96</v>
      </c>
      <c r="M271" s="54">
        <v>1010024476</v>
      </c>
      <c r="N271" s="30"/>
      <c r="O271" s="2" t="s">
        <v>1484</v>
      </c>
      <c r="P271" s="73" t="s">
        <v>318</v>
      </c>
      <c r="Q271" s="3"/>
      <c r="R271" s="32">
        <f>+Tabla1513[[#This Row],[VALOR INICIAL DEL CONTRATO CON IVA]]+Tabla1513[[#This Row],[VALOR DE LAS ADICIONES CON IVA]]</f>
        <v>24370920</v>
      </c>
      <c r="S271" s="48">
        <f>+Tabla1513[[#This Row],[FECHA TERMINACIÓN INICIAL CONTRATO]]-Tabla1513[[#This Row],[FECHA INICIO CONTRATO]]</f>
        <v>209</v>
      </c>
      <c r="T271" s="24" t="s">
        <v>318</v>
      </c>
      <c r="U271" s="4"/>
      <c r="V271" s="24" t="s">
        <v>318</v>
      </c>
      <c r="W271" s="70">
        <v>45813</v>
      </c>
      <c r="X271" s="70">
        <v>46022</v>
      </c>
      <c r="Y271" s="70">
        <v>46022</v>
      </c>
      <c r="Z271" s="72" t="s">
        <v>319</v>
      </c>
      <c r="AA271" s="60"/>
      <c r="AB271" s="131"/>
      <c r="AC271" s="56" t="s">
        <v>441</v>
      </c>
      <c r="AD271" s="34"/>
      <c r="AE271" s="34"/>
      <c r="AF271" s="35"/>
      <c r="AG271" s="36" t="s">
        <v>1556</v>
      </c>
      <c r="AH271" s="63">
        <v>2025</v>
      </c>
    </row>
    <row r="272" spans="1:34" ht="29" x14ac:dyDescent="0.35">
      <c r="A272" s="55" t="s">
        <v>330</v>
      </c>
      <c r="B272" s="2" t="s">
        <v>31</v>
      </c>
      <c r="C272" s="30" t="s">
        <v>34</v>
      </c>
      <c r="D272" s="2" t="s">
        <v>412</v>
      </c>
      <c r="E272" s="96" t="s">
        <v>1367</v>
      </c>
      <c r="F272" s="70">
        <v>45803</v>
      </c>
      <c r="G272" s="30" t="s">
        <v>150</v>
      </c>
      <c r="H272" s="37" t="s">
        <v>1404</v>
      </c>
      <c r="I272" s="111">
        <v>1398645935</v>
      </c>
      <c r="J272" s="101">
        <v>147259488</v>
      </c>
      <c r="K272" s="47">
        <v>1545905423</v>
      </c>
      <c r="L272" s="77" t="s">
        <v>84</v>
      </c>
      <c r="M272" s="54">
        <v>901948191</v>
      </c>
      <c r="N272" s="30" t="s">
        <v>114</v>
      </c>
      <c r="O272" s="2" t="s">
        <v>1405</v>
      </c>
      <c r="P272" s="73" t="s">
        <v>318</v>
      </c>
      <c r="Q272" s="3"/>
      <c r="R272" s="32">
        <f>+Tabla1513[[#This Row],[VALOR INICIAL DEL CONTRATO CON IVA]]+Tabla1513[[#This Row],[VALOR DE LAS ADICIONES CON IVA]]</f>
        <v>1545905423</v>
      </c>
      <c r="S272" s="48">
        <f>+Tabla1513[[#This Row],[FECHA TERMINACIÓN INICIAL CONTRATO]]-Tabla1513[[#This Row],[FECHA INICIO CONTRATO]]</f>
        <v>457</v>
      </c>
      <c r="T272" s="24" t="s">
        <v>318</v>
      </c>
      <c r="U272" s="4"/>
      <c r="V272" s="24" t="s">
        <v>318</v>
      </c>
      <c r="W272" s="70">
        <v>45819</v>
      </c>
      <c r="X272" s="70">
        <v>46276</v>
      </c>
      <c r="Y272" s="70">
        <v>46276</v>
      </c>
      <c r="Z272" s="72" t="s">
        <v>319</v>
      </c>
      <c r="AA272" s="60"/>
      <c r="AB272" s="131"/>
      <c r="AC272" s="56" t="s">
        <v>477</v>
      </c>
      <c r="AD272" s="34"/>
      <c r="AE272" s="34"/>
      <c r="AF272" s="35"/>
      <c r="AG272" s="36" t="s">
        <v>1557</v>
      </c>
      <c r="AH272" s="63">
        <v>2025</v>
      </c>
    </row>
    <row r="273" spans="1:34" ht="29" x14ac:dyDescent="0.35">
      <c r="A273" s="55" t="s">
        <v>330</v>
      </c>
      <c r="B273" s="2" t="s">
        <v>422</v>
      </c>
      <c r="C273" s="30" t="s">
        <v>45</v>
      </c>
      <c r="D273" s="2" t="s">
        <v>313</v>
      </c>
      <c r="E273" s="96" t="s">
        <v>1370</v>
      </c>
      <c r="F273" s="70">
        <v>45793</v>
      </c>
      <c r="G273" s="30" t="s">
        <v>150</v>
      </c>
      <c r="H273" s="94" t="s">
        <v>1409</v>
      </c>
      <c r="I273" s="111">
        <v>33000000</v>
      </c>
      <c r="J273" s="101">
        <v>6270000</v>
      </c>
      <c r="K273" s="47">
        <v>39270000</v>
      </c>
      <c r="L273" s="77" t="s">
        <v>84</v>
      </c>
      <c r="M273" s="54">
        <v>901258229</v>
      </c>
      <c r="N273" s="30" t="s">
        <v>114</v>
      </c>
      <c r="O273" s="2" t="s">
        <v>1410</v>
      </c>
      <c r="P273" s="73" t="s">
        <v>318</v>
      </c>
      <c r="Q273" s="3"/>
      <c r="R273" s="32">
        <f>+Tabla1513[[#This Row],[VALOR INICIAL DEL CONTRATO CON IVA]]+Tabla1513[[#This Row],[VALOR DE LAS ADICIONES CON IVA]]</f>
        <v>39270000</v>
      </c>
      <c r="S273" s="48">
        <f>+Tabla1513[[#This Row],[FECHA TERMINACIÓN INICIAL CONTRATO]]-Tabla1513[[#This Row],[FECHA INICIO CONTRATO]]</f>
        <v>60</v>
      </c>
      <c r="T273" s="24" t="s">
        <v>318</v>
      </c>
      <c r="U273" s="4"/>
      <c r="V273" s="24" t="s">
        <v>318</v>
      </c>
      <c r="W273" s="70">
        <v>45793</v>
      </c>
      <c r="X273" s="70">
        <v>45853</v>
      </c>
      <c r="Y273" s="70">
        <v>45853</v>
      </c>
      <c r="Z273" s="72" t="s">
        <v>405</v>
      </c>
      <c r="AA273" s="60"/>
      <c r="AB273" s="131" t="s">
        <v>406</v>
      </c>
      <c r="AC273" s="56" t="s">
        <v>424</v>
      </c>
      <c r="AD273" s="34"/>
      <c r="AE273" s="34"/>
      <c r="AF273" s="35"/>
      <c r="AG273" s="36" t="s">
        <v>1662</v>
      </c>
      <c r="AH273" s="63">
        <v>2025</v>
      </c>
    </row>
    <row r="274" spans="1:34" ht="29" x14ac:dyDescent="0.35">
      <c r="A274" s="55" t="s">
        <v>330</v>
      </c>
      <c r="B274" s="2" t="s">
        <v>422</v>
      </c>
      <c r="C274" s="30" t="s">
        <v>45</v>
      </c>
      <c r="D274" s="2" t="s">
        <v>313</v>
      </c>
      <c r="E274" s="96" t="s">
        <v>1391</v>
      </c>
      <c r="F274" s="70">
        <v>45793</v>
      </c>
      <c r="G274" s="30" t="s">
        <v>150</v>
      </c>
      <c r="H274" s="94" t="s">
        <v>1432</v>
      </c>
      <c r="I274" s="111">
        <v>17722575</v>
      </c>
      <c r="J274" s="101">
        <v>3367289</v>
      </c>
      <c r="K274" s="47">
        <v>21089864</v>
      </c>
      <c r="L274" s="77" t="s">
        <v>96</v>
      </c>
      <c r="M274" s="54">
        <v>79506641</v>
      </c>
      <c r="N274" s="30"/>
      <c r="O274" s="2" t="s">
        <v>566</v>
      </c>
      <c r="P274" s="73" t="s">
        <v>318</v>
      </c>
      <c r="Q274" s="3"/>
      <c r="R274" s="32">
        <f>+Tabla1513[[#This Row],[VALOR INICIAL DEL CONTRATO CON IVA]]+Tabla1513[[#This Row],[VALOR DE LAS ADICIONES CON IVA]]</f>
        <v>21089864</v>
      </c>
      <c r="S274" s="48">
        <f>+Tabla1513[[#This Row],[FECHA TERMINACIÓN INICIAL CONTRATO]]-Tabla1513[[#This Row],[FECHA INICIO CONTRATO]]</f>
        <v>364</v>
      </c>
      <c r="T274" s="24" t="s">
        <v>318</v>
      </c>
      <c r="U274" s="4"/>
      <c r="V274" s="24" t="s">
        <v>318</v>
      </c>
      <c r="W274" s="70">
        <v>45809</v>
      </c>
      <c r="X274" s="70">
        <v>46173</v>
      </c>
      <c r="Y274" s="70">
        <v>46173</v>
      </c>
      <c r="Z274" s="72" t="s">
        <v>319</v>
      </c>
      <c r="AA274" s="60"/>
      <c r="AB274" s="131"/>
      <c r="AC274" s="56" t="s">
        <v>424</v>
      </c>
      <c r="AD274" s="34"/>
      <c r="AE274" s="34"/>
      <c r="AF274" s="35"/>
      <c r="AG274" s="36" t="s">
        <v>1558</v>
      </c>
      <c r="AH274" s="63">
        <v>2025</v>
      </c>
    </row>
    <row r="275" spans="1:34" ht="43.5" x14ac:dyDescent="0.35">
      <c r="A275" s="55" t="s">
        <v>330</v>
      </c>
      <c r="B275" s="2" t="s">
        <v>31</v>
      </c>
      <c r="C275" s="30" t="s">
        <v>33</v>
      </c>
      <c r="D275" s="2" t="s">
        <v>313</v>
      </c>
      <c r="E275" s="96" t="s">
        <v>1377</v>
      </c>
      <c r="F275" s="70">
        <v>45798</v>
      </c>
      <c r="G275" s="30" t="s">
        <v>150</v>
      </c>
      <c r="H275" s="94" t="s">
        <v>1419</v>
      </c>
      <c r="I275" s="111">
        <v>50000000</v>
      </c>
      <c r="J275" s="101">
        <v>9500000</v>
      </c>
      <c r="K275" s="47">
        <v>59500000</v>
      </c>
      <c r="L275" s="77" t="s">
        <v>84</v>
      </c>
      <c r="M275" s="54">
        <v>900985321</v>
      </c>
      <c r="N275" s="30" t="s">
        <v>85</v>
      </c>
      <c r="O275" s="2" t="s">
        <v>1420</v>
      </c>
      <c r="P275" s="73" t="s">
        <v>318</v>
      </c>
      <c r="Q275" s="3"/>
      <c r="R275" s="32">
        <f>+Tabla1513[[#This Row],[VALOR INICIAL DEL CONTRATO CON IVA]]+Tabla1513[[#This Row],[VALOR DE LAS ADICIONES CON IVA]]</f>
        <v>59500000</v>
      </c>
      <c r="S275" s="48">
        <f>+Tabla1513[[#This Row],[FECHA TERMINACIÓN INICIAL CONTRATO]]-Tabla1513[[#This Row],[FECHA INICIO CONTRATO]]</f>
        <v>224</v>
      </c>
      <c r="T275" s="24" t="s">
        <v>318</v>
      </c>
      <c r="U275" s="4"/>
      <c r="V275" s="24" t="s">
        <v>318</v>
      </c>
      <c r="W275" s="70">
        <v>45798</v>
      </c>
      <c r="X275" s="70">
        <v>46022</v>
      </c>
      <c r="Y275" s="70">
        <v>46022</v>
      </c>
      <c r="Z275" s="72" t="s">
        <v>319</v>
      </c>
      <c r="AA275" s="60"/>
      <c r="AB275" s="131"/>
      <c r="AC275" s="56" t="s">
        <v>415</v>
      </c>
      <c r="AD275" s="34"/>
      <c r="AE275" s="34"/>
      <c r="AF275" s="35"/>
      <c r="AG275" s="36" t="s">
        <v>1559</v>
      </c>
      <c r="AH275" s="63">
        <v>2025</v>
      </c>
    </row>
    <row r="276" spans="1:34" ht="43.5" x14ac:dyDescent="0.35">
      <c r="A276" s="55" t="s">
        <v>330</v>
      </c>
      <c r="B276" s="2" t="s">
        <v>11</v>
      </c>
      <c r="C276" s="30" t="s">
        <v>19</v>
      </c>
      <c r="D276" s="2" t="s">
        <v>313</v>
      </c>
      <c r="E276" s="96" t="s">
        <v>1374</v>
      </c>
      <c r="F276" s="70">
        <v>45797</v>
      </c>
      <c r="G276" s="30" t="s">
        <v>142</v>
      </c>
      <c r="H276" s="94" t="s">
        <v>1414</v>
      </c>
      <c r="I276" s="81">
        <v>59810570</v>
      </c>
      <c r="J276" s="32">
        <v>11364006</v>
      </c>
      <c r="K276" s="47">
        <v>71174576</v>
      </c>
      <c r="L276" s="77" t="s">
        <v>84</v>
      </c>
      <c r="M276" s="54">
        <v>830005448</v>
      </c>
      <c r="N276" s="30" t="s">
        <v>91</v>
      </c>
      <c r="O276" s="2" t="s">
        <v>1415</v>
      </c>
      <c r="P276" s="73" t="s">
        <v>318</v>
      </c>
      <c r="Q276" s="3"/>
      <c r="R276" s="32">
        <f>+Tabla1513[[#This Row],[VALOR INICIAL DEL CONTRATO CON IVA]]+Tabla1513[[#This Row],[VALOR DE LAS ADICIONES CON IVA]]</f>
        <v>71174576</v>
      </c>
      <c r="S276" s="48">
        <f>+Tabla1513[[#This Row],[FECHA TERMINACIÓN INICIAL CONTRATO]]-Tabla1513[[#This Row],[FECHA INICIO CONTRATO]]</f>
        <v>1096</v>
      </c>
      <c r="T276" s="24" t="s">
        <v>318</v>
      </c>
      <c r="U276" s="4"/>
      <c r="V276" s="24" t="s">
        <v>318</v>
      </c>
      <c r="W276" s="70">
        <v>45917</v>
      </c>
      <c r="X276" s="70">
        <v>47013</v>
      </c>
      <c r="Y276" s="70">
        <v>47013</v>
      </c>
      <c r="Z276" s="72" t="s">
        <v>319</v>
      </c>
      <c r="AA276" s="60"/>
      <c r="AB276" s="131"/>
      <c r="AC276" s="56" t="s">
        <v>1033</v>
      </c>
      <c r="AD276" s="34"/>
      <c r="AE276" s="34"/>
      <c r="AF276" s="35"/>
      <c r="AG276" s="36" t="s">
        <v>1811</v>
      </c>
      <c r="AH276" s="63">
        <v>2025</v>
      </c>
    </row>
    <row r="277" spans="1:34" ht="29" x14ac:dyDescent="0.35">
      <c r="A277" s="55" t="s">
        <v>330</v>
      </c>
      <c r="B277" s="2" t="s">
        <v>4</v>
      </c>
      <c r="C277" s="30" t="s">
        <v>579</v>
      </c>
      <c r="D277" s="2" t="s">
        <v>313</v>
      </c>
      <c r="E277" s="96" t="s">
        <v>1392</v>
      </c>
      <c r="F277" s="70">
        <v>45797</v>
      </c>
      <c r="G277" s="30" t="s">
        <v>150</v>
      </c>
      <c r="H277" s="94" t="s">
        <v>1448</v>
      </c>
      <c r="I277" s="111">
        <v>80000000</v>
      </c>
      <c r="J277" s="101">
        <v>0</v>
      </c>
      <c r="K277" s="47">
        <v>80000000</v>
      </c>
      <c r="L277" s="77" t="s">
        <v>96</v>
      </c>
      <c r="M277" s="54">
        <v>1023013717</v>
      </c>
      <c r="N277" s="30"/>
      <c r="O277" s="2" t="s">
        <v>1433</v>
      </c>
      <c r="P277" s="73" t="s">
        <v>318</v>
      </c>
      <c r="Q277" s="3"/>
      <c r="R277" s="32">
        <f>+Tabla1513[[#This Row],[VALOR INICIAL DEL CONTRATO CON IVA]]+Tabla1513[[#This Row],[VALOR DE LAS ADICIONES CON IVA]]</f>
        <v>80000000</v>
      </c>
      <c r="S277" s="48">
        <f>+Tabla1513[[#This Row],[FECHA TERMINACIÓN INICIAL CONTRATO]]-Tabla1513[[#This Row],[FECHA INICIO CONTRATO]]</f>
        <v>225</v>
      </c>
      <c r="T277" s="24" t="s">
        <v>318</v>
      </c>
      <c r="U277" s="4"/>
      <c r="V277" s="24" t="s">
        <v>318</v>
      </c>
      <c r="W277" s="70">
        <v>45797</v>
      </c>
      <c r="X277" s="70">
        <v>46022</v>
      </c>
      <c r="Y277" s="70">
        <v>46022</v>
      </c>
      <c r="Z277" s="72" t="s">
        <v>319</v>
      </c>
      <c r="AA277" s="60"/>
      <c r="AB277" s="131"/>
      <c r="AC277" s="56" t="s">
        <v>415</v>
      </c>
      <c r="AD277" s="34"/>
      <c r="AE277" s="34"/>
      <c r="AF277" s="35"/>
      <c r="AG277" s="36" t="s">
        <v>1560</v>
      </c>
      <c r="AH277" s="63">
        <v>2025</v>
      </c>
    </row>
    <row r="278" spans="1:34" ht="29" x14ac:dyDescent="0.35">
      <c r="A278" s="55" t="s">
        <v>330</v>
      </c>
      <c r="B278" s="2" t="s">
        <v>11</v>
      </c>
      <c r="C278" s="30" t="s">
        <v>476</v>
      </c>
      <c r="D278" s="2" t="s">
        <v>313</v>
      </c>
      <c r="E278" s="96" t="s">
        <v>1402</v>
      </c>
      <c r="F278" s="70">
        <v>45798</v>
      </c>
      <c r="G278" s="30" t="s">
        <v>150</v>
      </c>
      <c r="H278" s="94" t="s">
        <v>1440</v>
      </c>
      <c r="I278" s="111">
        <v>90440000</v>
      </c>
      <c r="J278" s="101">
        <v>17183600</v>
      </c>
      <c r="K278" s="47">
        <v>107623600</v>
      </c>
      <c r="L278" s="77" t="s">
        <v>96</v>
      </c>
      <c r="M278" s="54">
        <v>1018446510</v>
      </c>
      <c r="N278" s="30"/>
      <c r="O278" s="2" t="s">
        <v>1441</v>
      </c>
      <c r="P278" s="73" t="s">
        <v>318</v>
      </c>
      <c r="Q278" s="3"/>
      <c r="R278" s="32">
        <f>+Tabla1513[[#This Row],[VALOR INICIAL DEL CONTRATO CON IVA]]+Tabla1513[[#This Row],[VALOR DE LAS ADICIONES CON IVA]]</f>
        <v>107623600</v>
      </c>
      <c r="S278" s="48">
        <f>+Tabla1513[[#This Row],[FECHA TERMINACIÓN INICIAL CONTRATO]]-Tabla1513[[#This Row],[FECHA INICIO CONTRATO]]</f>
        <v>364</v>
      </c>
      <c r="T278" s="24" t="s">
        <v>318</v>
      </c>
      <c r="U278" s="4"/>
      <c r="V278" s="24" t="s">
        <v>318</v>
      </c>
      <c r="W278" s="70">
        <v>45799</v>
      </c>
      <c r="X278" s="70">
        <v>46163</v>
      </c>
      <c r="Y278" s="70">
        <v>46163</v>
      </c>
      <c r="Z278" s="72" t="s">
        <v>319</v>
      </c>
      <c r="AA278" s="60"/>
      <c r="AB278" s="131"/>
      <c r="AC278" s="56" t="s">
        <v>434</v>
      </c>
      <c r="AD278" s="34"/>
      <c r="AE278" s="34"/>
      <c r="AF278" s="35"/>
      <c r="AG278" s="36" t="s">
        <v>1663</v>
      </c>
      <c r="AH278" s="63">
        <v>2025</v>
      </c>
    </row>
    <row r="279" spans="1:34" ht="29" x14ac:dyDescent="0.35">
      <c r="A279" s="55" t="s">
        <v>330</v>
      </c>
      <c r="B279" s="2" t="s">
        <v>310</v>
      </c>
      <c r="C279" s="30" t="s">
        <v>25</v>
      </c>
      <c r="D279" s="2" t="s">
        <v>313</v>
      </c>
      <c r="E279" s="96" t="s">
        <v>1373</v>
      </c>
      <c r="F279" s="70">
        <v>45798</v>
      </c>
      <c r="G279" s="30" t="s">
        <v>150</v>
      </c>
      <c r="H279" s="94" t="s">
        <v>1413</v>
      </c>
      <c r="I279" s="111">
        <v>131809080</v>
      </c>
      <c r="J279" s="101">
        <v>25043725</v>
      </c>
      <c r="K279" s="47">
        <v>156852805</v>
      </c>
      <c r="L279" s="77" t="s">
        <v>84</v>
      </c>
      <c r="M279" s="54">
        <v>900805096</v>
      </c>
      <c r="N279" s="30" t="s">
        <v>117</v>
      </c>
      <c r="O279" s="2" t="s">
        <v>760</v>
      </c>
      <c r="P279" s="73" t="s">
        <v>318</v>
      </c>
      <c r="Q279" s="3"/>
      <c r="R279" s="32">
        <f>+Tabla1513[[#This Row],[VALOR INICIAL DEL CONTRATO CON IVA]]+Tabla1513[[#This Row],[VALOR DE LAS ADICIONES CON IVA]]</f>
        <v>156852805</v>
      </c>
      <c r="S279" s="48">
        <f>+Tabla1513[[#This Row],[FECHA TERMINACIÓN INICIAL CONTRATO]]-Tabla1513[[#This Row],[FECHA INICIO CONTRATO]]</f>
        <v>365</v>
      </c>
      <c r="T279" s="24" t="s">
        <v>318</v>
      </c>
      <c r="U279" s="4"/>
      <c r="V279" s="24" t="s">
        <v>318</v>
      </c>
      <c r="W279" s="70">
        <v>45818</v>
      </c>
      <c r="X279" s="70">
        <v>46183</v>
      </c>
      <c r="Y279" s="70">
        <v>46183</v>
      </c>
      <c r="Z279" s="72" t="s">
        <v>319</v>
      </c>
      <c r="AA279" s="60"/>
      <c r="AB279" s="131"/>
      <c r="AC279" s="56" t="s">
        <v>415</v>
      </c>
      <c r="AD279" s="34"/>
      <c r="AE279" s="34"/>
      <c r="AF279" s="35"/>
      <c r="AG279" s="36" t="s">
        <v>1628</v>
      </c>
      <c r="AH279" s="63">
        <v>2025</v>
      </c>
    </row>
    <row r="280" spans="1:34" ht="29" x14ac:dyDescent="0.35">
      <c r="A280" s="55" t="s">
        <v>330</v>
      </c>
      <c r="B280" s="2" t="s">
        <v>11</v>
      </c>
      <c r="C280" s="30" t="s">
        <v>476</v>
      </c>
      <c r="D280" s="2" t="s">
        <v>313</v>
      </c>
      <c r="E280" s="96" t="s">
        <v>1393</v>
      </c>
      <c r="F280" s="70">
        <v>45798</v>
      </c>
      <c r="G280" s="30" t="s">
        <v>150</v>
      </c>
      <c r="H280" s="94" t="s">
        <v>1434</v>
      </c>
      <c r="I280" s="111">
        <v>48000000</v>
      </c>
      <c r="J280" s="101">
        <v>0</v>
      </c>
      <c r="K280" s="47">
        <v>48000000</v>
      </c>
      <c r="L280" s="77" t="s">
        <v>96</v>
      </c>
      <c r="M280" s="54">
        <v>52168444</v>
      </c>
      <c r="N280" s="30"/>
      <c r="O280" s="2" t="s">
        <v>1435</v>
      </c>
      <c r="P280" s="73" t="s">
        <v>318</v>
      </c>
      <c r="Q280" s="3"/>
      <c r="R280" s="32">
        <f>+Tabla1513[[#This Row],[VALOR INICIAL DEL CONTRATO CON IVA]]+Tabla1513[[#This Row],[VALOR DE LAS ADICIONES CON IVA]]</f>
        <v>48000000</v>
      </c>
      <c r="S280" s="48">
        <f>+Tabla1513[[#This Row],[FECHA TERMINACIÓN INICIAL CONTRATO]]-Tabla1513[[#This Row],[FECHA INICIO CONTRATO]]</f>
        <v>122</v>
      </c>
      <c r="T280" s="24" t="s">
        <v>318</v>
      </c>
      <c r="U280" s="4"/>
      <c r="V280" s="24" t="s">
        <v>318</v>
      </c>
      <c r="W280" s="70">
        <v>45812</v>
      </c>
      <c r="X280" s="70">
        <v>45934</v>
      </c>
      <c r="Y280" s="70">
        <v>45934</v>
      </c>
      <c r="Z280" s="72" t="s">
        <v>405</v>
      </c>
      <c r="AA280" s="60"/>
      <c r="AB280" s="56" t="s">
        <v>406</v>
      </c>
      <c r="AC280" s="56" t="s">
        <v>415</v>
      </c>
      <c r="AD280" s="34"/>
      <c r="AE280" s="34"/>
      <c r="AF280" s="35"/>
      <c r="AG280" s="36" t="s">
        <v>1561</v>
      </c>
      <c r="AH280" s="63">
        <v>2025</v>
      </c>
    </row>
    <row r="281" spans="1:34" ht="43.5" x14ac:dyDescent="0.35">
      <c r="A281" s="55" t="s">
        <v>330</v>
      </c>
      <c r="B281" s="2" t="s">
        <v>440</v>
      </c>
      <c r="C281" s="30" t="s">
        <v>818</v>
      </c>
      <c r="D281" s="2" t="s">
        <v>313</v>
      </c>
      <c r="E281" s="96" t="s">
        <v>1380</v>
      </c>
      <c r="F281" s="70">
        <v>45798</v>
      </c>
      <c r="G281" s="30" t="s">
        <v>150</v>
      </c>
      <c r="H281" s="94" t="s">
        <v>1423</v>
      </c>
      <c r="I281" s="111">
        <v>24370920</v>
      </c>
      <c r="J281" s="101">
        <v>0</v>
      </c>
      <c r="K281" s="47">
        <v>24370920</v>
      </c>
      <c r="L281" s="77" t="s">
        <v>96</v>
      </c>
      <c r="M281" s="54">
        <v>1145924214</v>
      </c>
      <c r="N281" s="30"/>
      <c r="O281" s="2" t="s">
        <v>1425</v>
      </c>
      <c r="P281" s="73" t="s">
        <v>318</v>
      </c>
      <c r="Q281" s="3"/>
      <c r="R281" s="32">
        <f>+Tabla1513[[#This Row],[VALOR INICIAL DEL CONTRATO CON IVA]]+Tabla1513[[#This Row],[VALOR DE LAS ADICIONES CON IVA]]</f>
        <v>24370920</v>
      </c>
      <c r="S281" s="48">
        <f>+Tabla1513[[#This Row],[FECHA TERMINACIÓN INICIAL CONTRATO]]-Tabla1513[[#This Row],[FECHA INICIO CONTRATO]]</f>
        <v>209</v>
      </c>
      <c r="T281" s="24" t="s">
        <v>318</v>
      </c>
      <c r="U281" s="4"/>
      <c r="V281" s="24" t="s">
        <v>318</v>
      </c>
      <c r="W281" s="70">
        <v>45813</v>
      </c>
      <c r="X281" s="70">
        <v>46022</v>
      </c>
      <c r="Y281" s="70">
        <v>46022</v>
      </c>
      <c r="Z281" s="72" t="s">
        <v>319</v>
      </c>
      <c r="AA281" s="60"/>
      <c r="AB281" s="131"/>
      <c r="AC281" s="56" t="s">
        <v>441</v>
      </c>
      <c r="AD281" s="34"/>
      <c r="AE281" s="34"/>
      <c r="AF281" s="35"/>
      <c r="AG281" s="36" t="s">
        <v>1562</v>
      </c>
      <c r="AH281" s="63">
        <v>2025</v>
      </c>
    </row>
    <row r="282" spans="1:34" ht="43.5" x14ac:dyDescent="0.35">
      <c r="A282" s="55" t="s">
        <v>330</v>
      </c>
      <c r="B282" s="2" t="s">
        <v>440</v>
      </c>
      <c r="C282" s="30" t="s">
        <v>818</v>
      </c>
      <c r="D282" s="2" t="s">
        <v>313</v>
      </c>
      <c r="E282" s="96" t="s">
        <v>1390</v>
      </c>
      <c r="F282" s="70">
        <v>45798</v>
      </c>
      <c r="G282" s="30" t="s">
        <v>150</v>
      </c>
      <c r="H282" s="94" t="s">
        <v>1430</v>
      </c>
      <c r="I282" s="111">
        <v>24370920</v>
      </c>
      <c r="J282" s="101">
        <v>0</v>
      </c>
      <c r="K282" s="47">
        <v>24370920</v>
      </c>
      <c r="L282" s="77" t="s">
        <v>96</v>
      </c>
      <c r="M282" s="54">
        <v>1119894455</v>
      </c>
      <c r="N282" s="30"/>
      <c r="O282" s="2" t="s">
        <v>1431</v>
      </c>
      <c r="P282" s="73" t="s">
        <v>318</v>
      </c>
      <c r="Q282" s="3"/>
      <c r="R282" s="32">
        <f>+Tabla1513[[#This Row],[VALOR INICIAL DEL CONTRATO CON IVA]]+Tabla1513[[#This Row],[VALOR DE LAS ADICIONES CON IVA]]</f>
        <v>24370920</v>
      </c>
      <c r="S282" s="48">
        <f>+Tabla1513[[#This Row],[FECHA TERMINACIÓN INICIAL CONTRATO]]-Tabla1513[[#This Row],[FECHA INICIO CONTRATO]]</f>
        <v>209</v>
      </c>
      <c r="T282" s="24" t="s">
        <v>318</v>
      </c>
      <c r="U282" s="4"/>
      <c r="V282" s="24" t="s">
        <v>318</v>
      </c>
      <c r="W282" s="70">
        <v>45813</v>
      </c>
      <c r="X282" s="70">
        <v>46022</v>
      </c>
      <c r="Y282" s="70">
        <v>46022</v>
      </c>
      <c r="Z282" s="72" t="s">
        <v>319</v>
      </c>
      <c r="AA282" s="60"/>
      <c r="AB282" s="131"/>
      <c r="AC282" s="56" t="s">
        <v>441</v>
      </c>
      <c r="AD282" s="34"/>
      <c r="AE282" s="34"/>
      <c r="AF282" s="35"/>
      <c r="AG282" s="36" t="s">
        <v>1812</v>
      </c>
      <c r="AH282" s="63">
        <v>2025</v>
      </c>
    </row>
    <row r="283" spans="1:34" ht="29" x14ac:dyDescent="0.35">
      <c r="A283" s="55" t="s">
        <v>330</v>
      </c>
      <c r="B283" s="2" t="s">
        <v>422</v>
      </c>
      <c r="C283" s="30" t="s">
        <v>43</v>
      </c>
      <c r="D283" s="2" t="s">
        <v>362</v>
      </c>
      <c r="E283" s="96" t="s">
        <v>1485</v>
      </c>
      <c r="F283" s="70">
        <v>45825</v>
      </c>
      <c r="G283" s="30" t="s">
        <v>150</v>
      </c>
      <c r="H283" s="94" t="s">
        <v>1486</v>
      </c>
      <c r="I283" s="111">
        <v>256000000</v>
      </c>
      <c r="J283" s="101">
        <v>48640000</v>
      </c>
      <c r="K283" s="47">
        <v>304640000</v>
      </c>
      <c r="L283" s="77" t="s">
        <v>84</v>
      </c>
      <c r="M283" s="54">
        <v>900943048</v>
      </c>
      <c r="N283" s="30" t="s">
        <v>108</v>
      </c>
      <c r="O283" s="2" t="s">
        <v>1487</v>
      </c>
      <c r="P283" s="73" t="s">
        <v>318</v>
      </c>
      <c r="Q283" s="3"/>
      <c r="R283" s="32">
        <f>+Tabla1513[[#This Row],[VALOR INICIAL DEL CONTRATO CON IVA]]+Tabla1513[[#This Row],[VALOR DE LAS ADICIONES CON IVA]]</f>
        <v>304640000</v>
      </c>
      <c r="S283" s="48">
        <f>+Tabla1513[[#This Row],[FECHA TERMINACIÓN INICIAL CONTRATO]]-Tabla1513[[#This Row],[FECHA INICIO CONTRATO]]</f>
        <v>1096</v>
      </c>
      <c r="T283" s="24" t="s">
        <v>318</v>
      </c>
      <c r="U283" s="4"/>
      <c r="V283" s="24" t="s">
        <v>318</v>
      </c>
      <c r="W283" s="70">
        <v>45890</v>
      </c>
      <c r="X283" s="70">
        <v>46986</v>
      </c>
      <c r="Y283" s="70">
        <v>46986</v>
      </c>
      <c r="Z283" s="72" t="s">
        <v>319</v>
      </c>
      <c r="AA283" s="60"/>
      <c r="AB283" s="131"/>
      <c r="AC283" s="56" t="s">
        <v>415</v>
      </c>
      <c r="AD283" s="34"/>
      <c r="AE283" s="34"/>
      <c r="AF283" s="35"/>
      <c r="AG283" s="36" t="s">
        <v>1812</v>
      </c>
      <c r="AH283" s="63">
        <v>2025</v>
      </c>
    </row>
    <row r="284" spans="1:34" ht="29" x14ac:dyDescent="0.35">
      <c r="A284" s="55" t="s">
        <v>330</v>
      </c>
      <c r="B284" s="2" t="s">
        <v>11</v>
      </c>
      <c r="C284" s="30" t="s">
        <v>476</v>
      </c>
      <c r="D284" s="2" t="s">
        <v>313</v>
      </c>
      <c r="E284" s="96" t="s">
        <v>1403</v>
      </c>
      <c r="F284" s="70">
        <v>45803</v>
      </c>
      <c r="G284" s="30" t="s">
        <v>150</v>
      </c>
      <c r="H284" s="94" t="s">
        <v>1444</v>
      </c>
      <c r="I284" s="111">
        <v>80000000</v>
      </c>
      <c r="J284" s="101">
        <v>0</v>
      </c>
      <c r="K284" s="47">
        <v>80000000</v>
      </c>
      <c r="L284" s="77" t="s">
        <v>96</v>
      </c>
      <c r="M284" s="54">
        <v>1018501757</v>
      </c>
      <c r="N284" s="30"/>
      <c r="O284" s="2" t="s">
        <v>1442</v>
      </c>
      <c r="P284" s="73" t="s">
        <v>318</v>
      </c>
      <c r="Q284" s="3"/>
      <c r="R284" s="32">
        <f>+Tabla1513[[#This Row],[VALOR INICIAL DEL CONTRATO CON IVA]]+Tabla1513[[#This Row],[VALOR DE LAS ADICIONES CON IVA]]</f>
        <v>80000000</v>
      </c>
      <c r="S284" s="48">
        <f>+Tabla1513[[#This Row],[FECHA TERMINACIÓN INICIAL CONTRATO]]-Tabla1513[[#This Row],[FECHA INICIO CONTRATO]]</f>
        <v>209</v>
      </c>
      <c r="T284" s="24" t="s">
        <v>318</v>
      </c>
      <c r="U284" s="4"/>
      <c r="V284" s="24" t="s">
        <v>318</v>
      </c>
      <c r="W284" s="70">
        <v>45813</v>
      </c>
      <c r="X284" s="70">
        <v>46022</v>
      </c>
      <c r="Y284" s="70">
        <v>46022</v>
      </c>
      <c r="Z284" s="72" t="s">
        <v>319</v>
      </c>
      <c r="AA284" s="60"/>
      <c r="AB284" s="131"/>
      <c r="AC284" s="56" t="s">
        <v>434</v>
      </c>
      <c r="AD284" s="34"/>
      <c r="AE284" s="34"/>
      <c r="AF284" s="35"/>
      <c r="AG284" s="36" t="s">
        <v>1664</v>
      </c>
      <c r="AH284" s="63">
        <v>2025</v>
      </c>
    </row>
    <row r="285" spans="1:34" ht="43.5" x14ac:dyDescent="0.35">
      <c r="A285" s="55" t="s">
        <v>330</v>
      </c>
      <c r="B285" s="2" t="s">
        <v>11</v>
      </c>
      <c r="C285" s="30" t="s">
        <v>19</v>
      </c>
      <c r="D285" s="2" t="s">
        <v>313</v>
      </c>
      <c r="E285" s="96" t="s">
        <v>1488</v>
      </c>
      <c r="F285" s="70">
        <v>45800</v>
      </c>
      <c r="G285" s="30" t="s">
        <v>142</v>
      </c>
      <c r="H285" s="94" t="s">
        <v>1490</v>
      </c>
      <c r="I285" s="111">
        <v>59653360</v>
      </c>
      <c r="J285" s="101">
        <v>11334138</v>
      </c>
      <c r="K285" s="47">
        <v>70987497</v>
      </c>
      <c r="L285" s="77" t="s">
        <v>84</v>
      </c>
      <c r="M285" s="54">
        <v>800099308</v>
      </c>
      <c r="N285" s="30" t="s">
        <v>85</v>
      </c>
      <c r="O285" s="2" t="s">
        <v>540</v>
      </c>
      <c r="P285" s="73" t="s">
        <v>318</v>
      </c>
      <c r="Q285" s="3"/>
      <c r="R285" s="32">
        <f>+Tabla1513[[#This Row],[VALOR INICIAL DEL CONTRATO CON IVA]]+Tabla1513[[#This Row],[VALOR DE LAS ADICIONES CON IVA]]</f>
        <v>70987497</v>
      </c>
      <c r="S285" s="48">
        <f>+Tabla1513[[#This Row],[FECHA TERMINACIÓN INICIAL CONTRATO]]-Tabla1513[[#This Row],[FECHA INICIO CONTRATO]]</f>
        <v>730</v>
      </c>
      <c r="T285" s="24" t="s">
        <v>318</v>
      </c>
      <c r="U285" s="4"/>
      <c r="V285" s="24" t="s">
        <v>318</v>
      </c>
      <c r="W285" s="70">
        <v>45839</v>
      </c>
      <c r="X285" s="70">
        <v>46569</v>
      </c>
      <c r="Y285" s="70">
        <v>46569</v>
      </c>
      <c r="Z285" s="72" t="s">
        <v>319</v>
      </c>
      <c r="AA285" s="60"/>
      <c r="AB285" s="131"/>
      <c r="AC285" s="56" t="s">
        <v>1033</v>
      </c>
      <c r="AD285" s="34"/>
      <c r="AE285" s="34"/>
      <c r="AF285" s="35"/>
      <c r="AG285" s="36" t="s">
        <v>1629</v>
      </c>
      <c r="AH285" s="63">
        <v>2025</v>
      </c>
    </row>
    <row r="286" spans="1:34" ht="43.5" x14ac:dyDescent="0.35">
      <c r="A286" s="55" t="s">
        <v>330</v>
      </c>
      <c r="B286" s="2" t="s">
        <v>11</v>
      </c>
      <c r="C286" s="30" t="s">
        <v>18</v>
      </c>
      <c r="D286" s="2" t="s">
        <v>313</v>
      </c>
      <c r="E286" s="96" t="s">
        <v>1489</v>
      </c>
      <c r="F286" s="70">
        <v>45805</v>
      </c>
      <c r="G286" s="30" t="s">
        <v>150</v>
      </c>
      <c r="H286" s="94" t="s">
        <v>1491</v>
      </c>
      <c r="I286" s="111">
        <v>58823529</v>
      </c>
      <c r="J286" s="101">
        <v>11176471</v>
      </c>
      <c r="K286" s="47">
        <v>70000000</v>
      </c>
      <c r="L286" s="77" t="s">
        <v>84</v>
      </c>
      <c r="M286" s="54">
        <v>860015826</v>
      </c>
      <c r="N286" s="30" t="s">
        <v>97</v>
      </c>
      <c r="O286" s="2" t="s">
        <v>1492</v>
      </c>
      <c r="P286" s="73" t="s">
        <v>318</v>
      </c>
      <c r="Q286" s="3"/>
      <c r="R286" s="32">
        <f>+Tabla1513[[#This Row],[VALOR INICIAL DEL CONTRATO CON IVA]]+Tabla1513[[#This Row],[VALOR DE LAS ADICIONES CON IVA]]</f>
        <v>70000000</v>
      </c>
      <c r="S286" s="48">
        <f>+Tabla1513[[#This Row],[FECHA TERMINACIÓN INICIAL CONTRATO]]-Tabla1513[[#This Row],[FECHA INICIO CONTRATO]]</f>
        <v>59</v>
      </c>
      <c r="T286" s="24" t="s">
        <v>318</v>
      </c>
      <c r="U286" s="4"/>
      <c r="V286" s="24" t="s">
        <v>318</v>
      </c>
      <c r="W286" s="70">
        <v>45805</v>
      </c>
      <c r="X286" s="70">
        <v>45864</v>
      </c>
      <c r="Y286" s="70">
        <v>45864</v>
      </c>
      <c r="Z286" s="72" t="s">
        <v>414</v>
      </c>
      <c r="AA286" s="60"/>
      <c r="AB286" s="60" t="s">
        <v>406</v>
      </c>
      <c r="AC286" s="56" t="s">
        <v>1493</v>
      </c>
      <c r="AD286" s="34"/>
      <c r="AE286" s="34"/>
      <c r="AF286" s="35"/>
      <c r="AG286" s="36" t="s">
        <v>1666</v>
      </c>
      <c r="AH286" s="63">
        <v>2025</v>
      </c>
    </row>
    <row r="287" spans="1:34" ht="43.5" x14ac:dyDescent="0.35">
      <c r="A287" s="55" t="s">
        <v>330</v>
      </c>
      <c r="B287" s="2" t="s">
        <v>11</v>
      </c>
      <c r="C287" s="30" t="s">
        <v>18</v>
      </c>
      <c r="D287" s="2" t="s">
        <v>714</v>
      </c>
      <c r="E287" s="96" t="s">
        <v>1494</v>
      </c>
      <c r="F287" s="70">
        <v>45811</v>
      </c>
      <c r="G287" s="30" t="s">
        <v>150</v>
      </c>
      <c r="H287" s="94" t="s">
        <v>1495</v>
      </c>
      <c r="I287" s="111">
        <v>5050000</v>
      </c>
      <c r="J287" s="101">
        <v>0</v>
      </c>
      <c r="K287" s="47">
        <v>5050000</v>
      </c>
      <c r="L287" s="77" t="s">
        <v>96</v>
      </c>
      <c r="M287" s="54">
        <v>80033612</v>
      </c>
      <c r="N287" s="30"/>
      <c r="O287" s="2" t="s">
        <v>1496</v>
      </c>
      <c r="P287" s="73" t="s">
        <v>318</v>
      </c>
      <c r="Q287" s="3"/>
      <c r="R287" s="32">
        <f>+Tabla1513[[#This Row],[VALOR INICIAL DEL CONTRATO CON IVA]]+Tabla1513[[#This Row],[VALOR DE LAS ADICIONES CON IVA]]</f>
        <v>5050000</v>
      </c>
      <c r="S287" s="48">
        <f>+Tabla1513[[#This Row],[FECHA TERMINACIÓN INICIAL CONTRATO]]-Tabla1513[[#This Row],[FECHA INICIO CONTRATO]]</f>
        <v>180</v>
      </c>
      <c r="T287" s="24" t="s">
        <v>318</v>
      </c>
      <c r="U287" s="4"/>
      <c r="V287" s="24" t="s">
        <v>318</v>
      </c>
      <c r="W287" s="70">
        <v>45811</v>
      </c>
      <c r="X287" s="70">
        <v>45991</v>
      </c>
      <c r="Y287" s="70">
        <v>45991</v>
      </c>
      <c r="Z287" s="72" t="s">
        <v>319</v>
      </c>
      <c r="AA287" s="60"/>
      <c r="AB287" s="131"/>
      <c r="AC287" s="56" t="s">
        <v>1501</v>
      </c>
      <c r="AD287" s="34"/>
      <c r="AE287" s="34"/>
      <c r="AF287" s="35"/>
      <c r="AG287" s="36" t="s">
        <v>1630</v>
      </c>
      <c r="AH287" s="63">
        <v>2025</v>
      </c>
    </row>
    <row r="288" spans="1:34" ht="29" x14ac:dyDescent="0.35">
      <c r="A288" s="55" t="s">
        <v>330</v>
      </c>
      <c r="B288" s="2" t="s">
        <v>310</v>
      </c>
      <c r="C288" s="30" t="s">
        <v>869</v>
      </c>
      <c r="D288" s="2" t="s">
        <v>313</v>
      </c>
      <c r="E288" s="96" t="s">
        <v>1497</v>
      </c>
      <c r="F288" s="70">
        <v>45814</v>
      </c>
      <c r="G288" s="30" t="s">
        <v>150</v>
      </c>
      <c r="H288" s="94" t="s">
        <v>1499</v>
      </c>
      <c r="I288" s="111">
        <v>117000000</v>
      </c>
      <c r="J288" s="101">
        <v>22230000</v>
      </c>
      <c r="K288" s="47">
        <v>139230000</v>
      </c>
      <c r="L288" s="77" t="s">
        <v>84</v>
      </c>
      <c r="M288" s="54">
        <v>900032159</v>
      </c>
      <c r="N288" s="30" t="s">
        <v>108</v>
      </c>
      <c r="O288" s="2" t="s">
        <v>456</v>
      </c>
      <c r="P288" s="73" t="s">
        <v>318</v>
      </c>
      <c r="Q288" s="3"/>
      <c r="R288" s="32">
        <f>+Tabla1513[[#This Row],[VALOR INICIAL DEL CONTRATO CON IVA]]+Tabla1513[[#This Row],[VALOR DE LAS ADICIONES CON IVA]]</f>
        <v>139230000</v>
      </c>
      <c r="S288" s="48">
        <f>+Tabla1513[[#This Row],[FECHA TERMINACIÓN INICIAL CONTRATO]]-Tabla1513[[#This Row],[FECHA INICIO CONTRATO]]</f>
        <v>168</v>
      </c>
      <c r="T288" s="24" t="s">
        <v>318</v>
      </c>
      <c r="U288" s="4"/>
      <c r="V288" s="24" t="s">
        <v>318</v>
      </c>
      <c r="W288" s="70">
        <v>45854</v>
      </c>
      <c r="X288" s="70">
        <v>46022</v>
      </c>
      <c r="Y288" s="70">
        <v>46022</v>
      </c>
      <c r="Z288" s="72" t="s">
        <v>319</v>
      </c>
      <c r="AA288" s="60"/>
      <c r="AB288" s="131"/>
      <c r="AC288" s="56" t="s">
        <v>1052</v>
      </c>
      <c r="AD288" s="34"/>
      <c r="AE288" s="34"/>
      <c r="AF288" s="35"/>
      <c r="AG288" s="36" t="s">
        <v>1631</v>
      </c>
      <c r="AH288" s="63">
        <v>2025</v>
      </c>
    </row>
    <row r="289" spans="1:34" ht="33" customHeight="1" x14ac:dyDescent="0.35">
      <c r="A289" s="55" t="s">
        <v>330</v>
      </c>
      <c r="B289" s="2" t="s">
        <v>11</v>
      </c>
      <c r="C289" s="30" t="s">
        <v>19</v>
      </c>
      <c r="D289" s="2" t="s">
        <v>313</v>
      </c>
      <c r="E289" s="96" t="s">
        <v>1498</v>
      </c>
      <c r="F289" s="70">
        <v>45817</v>
      </c>
      <c r="G289" s="30" t="s">
        <v>113</v>
      </c>
      <c r="H289" s="94" t="s">
        <v>1500</v>
      </c>
      <c r="I289" s="111">
        <v>9103500</v>
      </c>
      <c r="J289" s="101"/>
      <c r="K289" s="47">
        <v>9103500</v>
      </c>
      <c r="L289" s="77" t="s">
        <v>84</v>
      </c>
      <c r="M289" s="54">
        <v>900074348</v>
      </c>
      <c r="N289" s="30" t="s">
        <v>91</v>
      </c>
      <c r="O289" s="2" t="s">
        <v>1216</v>
      </c>
      <c r="P289" s="73" t="s">
        <v>318</v>
      </c>
      <c r="Q289" s="3"/>
      <c r="R289" s="32">
        <f>+Tabla1513[[#This Row],[VALOR INICIAL DEL CONTRATO CON IVA]]+Tabla1513[[#This Row],[VALOR DE LAS ADICIONES CON IVA]]</f>
        <v>9103500</v>
      </c>
      <c r="S289" s="48">
        <f>+Tabla1513[[#This Row],[FECHA TERMINACIÓN INICIAL CONTRATO]]-Tabla1513[[#This Row],[FECHA INICIO CONTRATO]]</f>
        <v>3</v>
      </c>
      <c r="T289" s="24" t="s">
        <v>318</v>
      </c>
      <c r="U289" s="4"/>
      <c r="V289" s="24" t="s">
        <v>318</v>
      </c>
      <c r="W289" s="70">
        <v>45817</v>
      </c>
      <c r="X289" s="70">
        <v>45820</v>
      </c>
      <c r="Y289" s="70">
        <v>45820</v>
      </c>
      <c r="Z289" s="72" t="s">
        <v>405</v>
      </c>
      <c r="AA289" s="60"/>
      <c r="AB289" s="60" t="s">
        <v>406</v>
      </c>
      <c r="AC289" s="56" t="s">
        <v>1062</v>
      </c>
      <c r="AD289" s="34"/>
      <c r="AE289" s="34"/>
      <c r="AF289" s="35"/>
      <c r="AG289" s="36" t="s">
        <v>1625</v>
      </c>
      <c r="AH289" s="63">
        <v>2025</v>
      </c>
    </row>
    <row r="290" spans="1:34" ht="43.5" x14ac:dyDescent="0.35">
      <c r="A290" s="55" t="s">
        <v>330</v>
      </c>
      <c r="B290" s="2" t="s">
        <v>11</v>
      </c>
      <c r="C290" s="30" t="s">
        <v>20</v>
      </c>
      <c r="D290" s="2" t="s">
        <v>714</v>
      </c>
      <c r="E290" s="96" t="s">
        <v>1502</v>
      </c>
      <c r="F290" s="70">
        <v>45813</v>
      </c>
      <c r="G290" s="30" t="s">
        <v>150</v>
      </c>
      <c r="H290" s="94" t="s">
        <v>1503</v>
      </c>
      <c r="I290" s="111">
        <v>4470090</v>
      </c>
      <c r="J290" s="101">
        <v>849317</v>
      </c>
      <c r="K290" s="47">
        <v>5319407</v>
      </c>
      <c r="L290" s="77" t="s">
        <v>84</v>
      </c>
      <c r="M290" s="54">
        <v>830073347</v>
      </c>
      <c r="N290" s="30" t="s">
        <v>108</v>
      </c>
      <c r="O290" s="2" t="s">
        <v>870</v>
      </c>
      <c r="P290" s="73" t="s">
        <v>318</v>
      </c>
      <c r="Q290" s="3"/>
      <c r="R290" s="32">
        <f>+Tabla1513[[#This Row],[VALOR INICIAL DEL CONTRATO CON IVA]]+Tabla1513[[#This Row],[VALOR DE LAS ADICIONES CON IVA]]</f>
        <v>5319407</v>
      </c>
      <c r="S290" s="48">
        <f>+Tabla1513[[#This Row],[FECHA TERMINACIÓN INICIAL CONTRATO]]-Tabla1513[[#This Row],[FECHA INICIO CONTRATO]]</f>
        <v>3</v>
      </c>
      <c r="T290" s="24" t="s">
        <v>318</v>
      </c>
      <c r="U290" s="4"/>
      <c r="V290" s="24" t="s">
        <v>318</v>
      </c>
      <c r="W290" s="70">
        <v>45818</v>
      </c>
      <c r="X290" s="70">
        <v>45821</v>
      </c>
      <c r="Y290" s="70">
        <v>45821</v>
      </c>
      <c r="Z290" s="72" t="s">
        <v>405</v>
      </c>
      <c r="AA290" s="60"/>
      <c r="AB290" s="60" t="s">
        <v>406</v>
      </c>
      <c r="AC290" s="56" t="s">
        <v>770</v>
      </c>
      <c r="AD290" s="34"/>
      <c r="AE290" s="34"/>
      <c r="AF290" s="35"/>
      <c r="AG290" s="36" t="s">
        <v>1563</v>
      </c>
      <c r="AH290" s="63">
        <v>2025</v>
      </c>
    </row>
    <row r="291" spans="1:34" ht="72.5" x14ac:dyDescent="0.35">
      <c r="A291" s="55" t="s">
        <v>330</v>
      </c>
      <c r="B291" s="2" t="s">
        <v>31</v>
      </c>
      <c r="C291" s="30" t="s">
        <v>33</v>
      </c>
      <c r="D291" s="2" t="s">
        <v>313</v>
      </c>
      <c r="E291" s="96" t="s">
        <v>1504</v>
      </c>
      <c r="F291" s="70">
        <v>45818</v>
      </c>
      <c r="G291" s="30" t="s">
        <v>150</v>
      </c>
      <c r="H291" s="94" t="s">
        <v>1505</v>
      </c>
      <c r="I291" s="111">
        <v>88375850</v>
      </c>
      <c r="J291" s="101">
        <v>9367000</v>
      </c>
      <c r="K291" s="47">
        <v>97742850</v>
      </c>
      <c r="L291" s="77" t="s">
        <v>84</v>
      </c>
      <c r="M291" s="54">
        <v>901016909</v>
      </c>
      <c r="N291" s="30" t="s">
        <v>120</v>
      </c>
      <c r="O291" s="2" t="s">
        <v>806</v>
      </c>
      <c r="P291" s="73" t="s">
        <v>318</v>
      </c>
      <c r="Q291" s="3"/>
      <c r="R291" s="32">
        <f>+Tabla1513[[#This Row],[VALOR INICIAL DEL CONTRATO CON IVA]]+Tabla1513[[#This Row],[VALOR DE LAS ADICIONES CON IVA]]</f>
        <v>97742850</v>
      </c>
      <c r="S291" s="48">
        <f>+Tabla1513[[#This Row],[FECHA TERMINACIÓN INICIAL CONTRATO]]-Tabla1513[[#This Row],[FECHA INICIO CONTRATO]]</f>
        <v>368</v>
      </c>
      <c r="T291" s="24" t="s">
        <v>318</v>
      </c>
      <c r="U291" s="4"/>
      <c r="V291" s="24" t="s">
        <v>318</v>
      </c>
      <c r="W291" s="70">
        <v>45825</v>
      </c>
      <c r="X291" s="70">
        <v>46193</v>
      </c>
      <c r="Y291" s="70">
        <v>46193</v>
      </c>
      <c r="Z291" s="72" t="s">
        <v>319</v>
      </c>
      <c r="AA291" s="60"/>
      <c r="AB291" s="131"/>
      <c r="AC291" s="56" t="s">
        <v>1506</v>
      </c>
      <c r="AD291" s="34"/>
      <c r="AE291" s="34"/>
      <c r="AF291" s="35"/>
      <c r="AG291" s="36" t="s">
        <v>1564</v>
      </c>
      <c r="AH291" s="63">
        <v>2025</v>
      </c>
    </row>
    <row r="292" spans="1:34" ht="43.5" x14ac:dyDescent="0.35">
      <c r="A292" s="55" t="s">
        <v>330</v>
      </c>
      <c r="B292" s="2" t="s">
        <v>31</v>
      </c>
      <c r="C292" s="30" t="s">
        <v>33</v>
      </c>
      <c r="D292" s="2" t="s">
        <v>313</v>
      </c>
      <c r="E292" s="96" t="s">
        <v>1507</v>
      </c>
      <c r="F292" s="70">
        <v>45820</v>
      </c>
      <c r="G292" s="30" t="s">
        <v>150</v>
      </c>
      <c r="H292" s="94" t="s">
        <v>1509</v>
      </c>
      <c r="I292" s="111">
        <v>26077351</v>
      </c>
      <c r="J292" s="101">
        <v>6116909</v>
      </c>
      <c r="K292" s="47">
        <v>32194260</v>
      </c>
      <c r="L292" s="77" t="s">
        <v>84</v>
      </c>
      <c r="M292" s="54">
        <v>860012336</v>
      </c>
      <c r="N292" s="30" t="s">
        <v>91</v>
      </c>
      <c r="O292" s="2" t="s">
        <v>813</v>
      </c>
      <c r="P292" s="73" t="s">
        <v>318</v>
      </c>
      <c r="Q292" s="3"/>
      <c r="R292" s="32">
        <f>+Tabla1513[[#This Row],[VALOR INICIAL DEL CONTRATO CON IVA]]+Tabla1513[[#This Row],[VALOR DE LAS ADICIONES CON IVA]]</f>
        <v>32194260</v>
      </c>
      <c r="S292" s="48">
        <f>+Tabla1513[[#This Row],[FECHA TERMINACIÓN INICIAL CONTRATO]]-Tabla1513[[#This Row],[FECHA INICIO CONTRATO]]</f>
        <v>183</v>
      </c>
      <c r="T292" s="24" t="s">
        <v>318</v>
      </c>
      <c r="U292" s="4"/>
      <c r="V292" s="24" t="s">
        <v>318</v>
      </c>
      <c r="W292" s="70">
        <v>45820</v>
      </c>
      <c r="X292" s="70">
        <v>46003</v>
      </c>
      <c r="Y292" s="70">
        <v>46003</v>
      </c>
      <c r="Z292" s="72" t="s">
        <v>319</v>
      </c>
      <c r="AA292" s="60"/>
      <c r="AB292" s="131"/>
      <c r="AC292" s="56" t="s">
        <v>415</v>
      </c>
      <c r="AD292" s="34"/>
      <c r="AE292" s="34"/>
      <c r="AF292" s="35"/>
      <c r="AG292" s="36" t="s">
        <v>1632</v>
      </c>
      <c r="AH292" s="63">
        <v>2025</v>
      </c>
    </row>
    <row r="293" spans="1:34" ht="43.5" x14ac:dyDescent="0.35">
      <c r="A293" s="55" t="s">
        <v>330</v>
      </c>
      <c r="B293" s="2" t="s">
        <v>11</v>
      </c>
      <c r="C293" s="30" t="s">
        <v>476</v>
      </c>
      <c r="D293" s="2" t="s">
        <v>313</v>
      </c>
      <c r="E293" s="96" t="s">
        <v>1508</v>
      </c>
      <c r="F293" s="70">
        <v>45817</v>
      </c>
      <c r="G293" s="30" t="s">
        <v>150</v>
      </c>
      <c r="H293" s="94" t="s">
        <v>1510</v>
      </c>
      <c r="I293" s="111">
        <v>27054000</v>
      </c>
      <c r="J293" s="101">
        <v>5140260</v>
      </c>
      <c r="K293" s="47">
        <v>32194260</v>
      </c>
      <c r="L293" s="77" t="s">
        <v>84</v>
      </c>
      <c r="M293" s="54">
        <v>860012336</v>
      </c>
      <c r="N293" s="30" t="s">
        <v>91</v>
      </c>
      <c r="O293" s="2" t="s">
        <v>813</v>
      </c>
      <c r="P293" s="73" t="s">
        <v>318</v>
      </c>
      <c r="Q293" s="3"/>
      <c r="R293" s="32">
        <f>+Tabla1513[[#This Row],[VALOR INICIAL DEL CONTRATO CON IVA]]+Tabla1513[[#This Row],[VALOR DE LAS ADICIONES CON IVA]]</f>
        <v>32194260</v>
      </c>
      <c r="S293" s="48">
        <f>+Tabla1513[[#This Row],[FECHA TERMINACIÓN INICIAL CONTRATO]]-Tabla1513[[#This Row],[FECHA INICIO CONTRATO]]</f>
        <v>90</v>
      </c>
      <c r="T293" s="24" t="s">
        <v>318</v>
      </c>
      <c r="U293" s="4"/>
      <c r="V293" s="24" t="s">
        <v>318</v>
      </c>
      <c r="W293" s="70">
        <v>45817</v>
      </c>
      <c r="X293" s="70">
        <v>45907</v>
      </c>
      <c r="Y293" s="70">
        <v>45907</v>
      </c>
      <c r="Z293" s="72" t="s">
        <v>405</v>
      </c>
      <c r="AA293" s="60"/>
      <c r="AB293" s="60" t="s">
        <v>406</v>
      </c>
      <c r="AC293" s="56" t="s">
        <v>415</v>
      </c>
      <c r="AD293" s="34"/>
      <c r="AE293" s="34"/>
      <c r="AF293" s="35"/>
      <c r="AG293" s="36" t="s">
        <v>1665</v>
      </c>
      <c r="AH293" s="63">
        <v>2025</v>
      </c>
    </row>
    <row r="294" spans="1:34" ht="29" x14ac:dyDescent="0.35">
      <c r="A294" s="55" t="s">
        <v>330</v>
      </c>
      <c r="B294" s="2" t="s">
        <v>473</v>
      </c>
      <c r="C294" s="30" t="s">
        <v>63</v>
      </c>
      <c r="D294" s="2" t="s">
        <v>714</v>
      </c>
      <c r="E294" s="96" t="s">
        <v>1511</v>
      </c>
      <c r="F294" s="70">
        <v>45807</v>
      </c>
      <c r="G294" s="30" t="s">
        <v>150</v>
      </c>
      <c r="H294" s="94" t="s">
        <v>1512</v>
      </c>
      <c r="I294" s="111">
        <v>4776000</v>
      </c>
      <c r="J294" s="101">
        <v>907440</v>
      </c>
      <c r="K294" s="47">
        <v>5683440</v>
      </c>
      <c r="L294" s="77" t="s">
        <v>84</v>
      </c>
      <c r="M294" s="54">
        <v>900591222</v>
      </c>
      <c r="N294" s="30" t="s">
        <v>120</v>
      </c>
      <c r="O294" s="2" t="s">
        <v>1513</v>
      </c>
      <c r="P294" s="73" t="s">
        <v>318</v>
      </c>
      <c r="Q294" s="3"/>
      <c r="R294" s="32">
        <f>+Tabla1513[[#This Row],[VALOR INICIAL DEL CONTRATO CON IVA]]+Tabla1513[[#This Row],[VALOR DE LAS ADICIONES CON IVA]]</f>
        <v>5683440</v>
      </c>
      <c r="S294" s="48">
        <f>+Tabla1513[[#This Row],[FECHA TERMINACIÓN INICIAL CONTRATO]]-Tabla1513[[#This Row],[FECHA INICIO CONTRATO]]</f>
        <v>215</v>
      </c>
      <c r="T294" s="24" t="s">
        <v>318</v>
      </c>
      <c r="U294" s="4"/>
      <c r="V294" s="24" t="s">
        <v>318</v>
      </c>
      <c r="W294" s="70">
        <v>45807</v>
      </c>
      <c r="X294" s="70">
        <v>46022</v>
      </c>
      <c r="Y294" s="70">
        <v>46022</v>
      </c>
      <c r="Z294" s="72" t="s">
        <v>319</v>
      </c>
      <c r="AA294" s="60"/>
      <c r="AB294" s="131"/>
      <c r="AC294" s="56" t="s">
        <v>415</v>
      </c>
      <c r="AD294" s="34"/>
      <c r="AE294" s="34"/>
      <c r="AF294" s="35"/>
      <c r="AG294" s="36" t="s">
        <v>1667</v>
      </c>
      <c r="AH294" s="63">
        <v>2025</v>
      </c>
    </row>
    <row r="295" spans="1:34" ht="29" x14ac:dyDescent="0.35">
      <c r="A295" s="55" t="s">
        <v>330</v>
      </c>
      <c r="B295" s="2" t="s">
        <v>31</v>
      </c>
      <c r="C295" s="30" t="s">
        <v>32</v>
      </c>
      <c r="D295" s="2" t="s">
        <v>412</v>
      </c>
      <c r="E295" s="96" t="s">
        <v>1514</v>
      </c>
      <c r="F295" s="70">
        <v>45824</v>
      </c>
      <c r="G295" s="30" t="s">
        <v>150</v>
      </c>
      <c r="H295" s="94" t="s">
        <v>1516</v>
      </c>
      <c r="I295" s="111">
        <v>3309078325</v>
      </c>
      <c r="J295" s="101">
        <v>357858901</v>
      </c>
      <c r="K295" s="47">
        <v>3666937226</v>
      </c>
      <c r="L295" s="77" t="s">
        <v>84</v>
      </c>
      <c r="M295" s="54">
        <v>830105621</v>
      </c>
      <c r="N295" s="30" t="s">
        <v>117</v>
      </c>
      <c r="O295" s="2" t="s">
        <v>1517</v>
      </c>
      <c r="P295" s="73" t="s">
        <v>318</v>
      </c>
      <c r="Q295" s="3"/>
      <c r="R295" s="32">
        <f>+Tabla1513[[#This Row],[VALOR INICIAL DEL CONTRATO CON IVA]]+Tabla1513[[#This Row],[VALOR DE LAS ADICIONES CON IVA]]</f>
        <v>3666937226</v>
      </c>
      <c r="S295" s="48">
        <f>+Tabla1513[[#This Row],[FECHA TERMINACIÓN INICIAL CONTRATO]]-Tabla1513[[#This Row],[FECHA INICIO CONTRATO]]</f>
        <v>426</v>
      </c>
      <c r="T295" s="24" t="s">
        <v>318</v>
      </c>
      <c r="U295" s="4"/>
      <c r="V295" s="24" t="s">
        <v>318</v>
      </c>
      <c r="W295" s="70">
        <v>45847</v>
      </c>
      <c r="X295" s="70">
        <v>46273</v>
      </c>
      <c r="Y295" s="70">
        <v>46273</v>
      </c>
      <c r="Z295" s="72" t="s">
        <v>319</v>
      </c>
      <c r="AA295" s="60"/>
      <c r="AB295" s="131"/>
      <c r="AC295" s="56" t="s">
        <v>415</v>
      </c>
      <c r="AD295" s="34"/>
      <c r="AE295" s="34"/>
      <c r="AF295" s="35"/>
      <c r="AG295" s="36" t="s">
        <v>1565</v>
      </c>
      <c r="AH295" s="63">
        <v>2025</v>
      </c>
    </row>
    <row r="296" spans="1:34" ht="43.5" x14ac:dyDescent="0.35">
      <c r="A296" s="55" t="s">
        <v>330</v>
      </c>
      <c r="B296" s="2" t="s">
        <v>310</v>
      </c>
      <c r="C296" s="30" t="s">
        <v>27</v>
      </c>
      <c r="D296" s="2" t="s">
        <v>313</v>
      </c>
      <c r="E296" s="96" t="s">
        <v>1515</v>
      </c>
      <c r="F296" s="70">
        <v>45825</v>
      </c>
      <c r="G296" s="30" t="s">
        <v>113</v>
      </c>
      <c r="H296" s="94" t="s">
        <v>1518</v>
      </c>
      <c r="I296" s="111">
        <v>59720208</v>
      </c>
      <c r="J296" s="101">
        <v>11346840</v>
      </c>
      <c r="K296" s="47">
        <v>71067048</v>
      </c>
      <c r="L296" s="77" t="s">
        <v>84</v>
      </c>
      <c r="M296" s="54">
        <v>900518732</v>
      </c>
      <c r="N296" s="30" t="s">
        <v>97</v>
      </c>
      <c r="O296" s="2" t="s">
        <v>1519</v>
      </c>
      <c r="P296" s="73" t="s">
        <v>318</v>
      </c>
      <c r="Q296" s="3"/>
      <c r="R296" s="32">
        <f>+Tabla1513[[#This Row],[VALOR INICIAL DEL CONTRATO CON IVA]]+Tabla1513[[#This Row],[VALOR DE LAS ADICIONES CON IVA]]</f>
        <v>71067048</v>
      </c>
      <c r="S296" s="48">
        <f>+Tabla1513[[#This Row],[FECHA TERMINACIÓN INICIAL CONTRATO]]-Tabla1513[[#This Row],[FECHA INICIO CONTRATO]]</f>
        <v>3</v>
      </c>
      <c r="T296" s="24" t="s">
        <v>318</v>
      </c>
      <c r="U296" s="4"/>
      <c r="V296" s="24" t="s">
        <v>318</v>
      </c>
      <c r="W296" s="70">
        <v>45825</v>
      </c>
      <c r="X296" s="70">
        <v>45828</v>
      </c>
      <c r="Y296" s="70">
        <v>45828</v>
      </c>
      <c r="Z296" s="72" t="s">
        <v>405</v>
      </c>
      <c r="AA296" s="60"/>
      <c r="AB296" s="60" t="s">
        <v>406</v>
      </c>
      <c r="AC296" s="56" t="s">
        <v>1520</v>
      </c>
      <c r="AD296" s="34"/>
      <c r="AE296" s="34"/>
      <c r="AF296" s="35"/>
      <c r="AG296" s="36" t="s">
        <v>1668</v>
      </c>
      <c r="AH296" s="63">
        <v>2025</v>
      </c>
    </row>
    <row r="297" spans="1:34" ht="29" x14ac:dyDescent="0.35">
      <c r="A297" s="55" t="s">
        <v>330</v>
      </c>
      <c r="B297" s="2" t="s">
        <v>11</v>
      </c>
      <c r="C297" s="30" t="s">
        <v>476</v>
      </c>
      <c r="D297" s="2" t="s">
        <v>313</v>
      </c>
      <c r="E297" s="96" t="s">
        <v>1521</v>
      </c>
      <c r="F297" s="70">
        <v>45826</v>
      </c>
      <c r="G297" s="30" t="s">
        <v>150</v>
      </c>
      <c r="H297" s="94" t="s">
        <v>1522</v>
      </c>
      <c r="I297" s="111">
        <v>47600000</v>
      </c>
      <c r="J297" s="101">
        <v>0</v>
      </c>
      <c r="K297" s="47">
        <v>47600000</v>
      </c>
      <c r="L297" s="77" t="s">
        <v>96</v>
      </c>
      <c r="M297" s="54">
        <v>13746237</v>
      </c>
      <c r="N297" s="30"/>
      <c r="O297" s="2" t="s">
        <v>1523</v>
      </c>
      <c r="P297" s="73" t="s">
        <v>318</v>
      </c>
      <c r="Q297" s="3"/>
      <c r="R297" s="32">
        <f>+Tabla1513[[#This Row],[VALOR INICIAL DEL CONTRATO CON IVA]]+Tabla1513[[#This Row],[VALOR DE LAS ADICIONES CON IVA]]</f>
        <v>47600000</v>
      </c>
      <c r="S297" s="48">
        <f>+Tabla1513[[#This Row],[FECHA TERMINACIÓN INICIAL CONTRATO]]-Tabla1513[[#This Row],[FECHA INICIO CONTRATO]]</f>
        <v>121</v>
      </c>
      <c r="T297" s="24" t="s">
        <v>318</v>
      </c>
      <c r="U297" s="4"/>
      <c r="V297" s="24" t="s">
        <v>318</v>
      </c>
      <c r="W297" s="70">
        <v>45832</v>
      </c>
      <c r="X297" s="70">
        <v>45953</v>
      </c>
      <c r="Y297" s="70">
        <v>45953</v>
      </c>
      <c r="Z297" s="72" t="s">
        <v>319</v>
      </c>
      <c r="AA297" s="60"/>
      <c r="AB297" s="131"/>
      <c r="AC297" s="56" t="s">
        <v>415</v>
      </c>
      <c r="AD297" s="34"/>
      <c r="AE297" s="34"/>
      <c r="AF297" s="35"/>
      <c r="AG297" s="36" t="s">
        <v>1633</v>
      </c>
      <c r="AH297" s="63">
        <v>2025</v>
      </c>
    </row>
    <row r="298" spans="1:34" ht="29" x14ac:dyDescent="0.35">
      <c r="A298" s="55" t="s">
        <v>330</v>
      </c>
      <c r="B298" s="2" t="s">
        <v>473</v>
      </c>
      <c r="C298" s="30" t="s">
        <v>63</v>
      </c>
      <c r="D298" s="2" t="s">
        <v>313</v>
      </c>
      <c r="E298" s="96" t="s">
        <v>1571</v>
      </c>
      <c r="F298" s="70">
        <v>45828</v>
      </c>
      <c r="G298" s="30" t="s">
        <v>150</v>
      </c>
      <c r="H298" s="94" t="s">
        <v>909</v>
      </c>
      <c r="I298" s="111">
        <v>150000000</v>
      </c>
      <c r="J298" s="101">
        <v>28500000</v>
      </c>
      <c r="K298" s="47">
        <v>178500000</v>
      </c>
      <c r="L298" s="77" t="s">
        <v>84</v>
      </c>
      <c r="M298" s="54">
        <v>901825955</v>
      </c>
      <c r="N298" s="30" t="s">
        <v>120</v>
      </c>
      <c r="O298" s="2" t="s">
        <v>808</v>
      </c>
      <c r="P298" s="73" t="s">
        <v>318</v>
      </c>
      <c r="Q298" s="3"/>
      <c r="R298" s="32">
        <f>+Tabla1513[[#This Row],[VALOR INICIAL DEL CONTRATO CON IVA]]+Tabla1513[[#This Row],[VALOR DE LAS ADICIONES CON IVA]]</f>
        <v>178500000</v>
      </c>
      <c r="S298" s="48">
        <f>+Tabla1513[[#This Row],[FECHA TERMINACIÓN INICIAL CONTRATO]]-Tabla1513[[#This Row],[FECHA INICIO CONTRATO]]</f>
        <v>364</v>
      </c>
      <c r="T298" s="24" t="s">
        <v>318</v>
      </c>
      <c r="U298" s="4"/>
      <c r="V298" s="24" t="s">
        <v>318</v>
      </c>
      <c r="W298" s="70">
        <v>45833</v>
      </c>
      <c r="X298" s="70">
        <v>46197</v>
      </c>
      <c r="Y298" s="70">
        <v>46197</v>
      </c>
      <c r="Z298" s="72" t="s">
        <v>319</v>
      </c>
      <c r="AA298" s="60"/>
      <c r="AB298" s="131"/>
      <c r="AC298" s="56" t="s">
        <v>312</v>
      </c>
      <c r="AD298" s="34"/>
      <c r="AE298" s="34"/>
      <c r="AF298" s="35"/>
      <c r="AG298" s="36" t="s">
        <v>1634</v>
      </c>
      <c r="AH298" s="63">
        <v>2025</v>
      </c>
    </row>
    <row r="299" spans="1:34" ht="29" x14ac:dyDescent="0.35">
      <c r="A299" s="55" t="s">
        <v>330</v>
      </c>
      <c r="B299" s="2" t="s">
        <v>11</v>
      </c>
      <c r="C299" s="30" t="s">
        <v>12</v>
      </c>
      <c r="D299" s="2" t="s">
        <v>313</v>
      </c>
      <c r="E299" s="96" t="s">
        <v>1524</v>
      </c>
      <c r="F299" s="70">
        <v>45778</v>
      </c>
      <c r="G299" s="30" t="s">
        <v>160</v>
      </c>
      <c r="H299" s="94" t="s">
        <v>1526</v>
      </c>
      <c r="I299" s="111">
        <v>139140965</v>
      </c>
      <c r="J299" s="101">
        <v>0</v>
      </c>
      <c r="K299" s="47">
        <v>139140965</v>
      </c>
      <c r="L299" s="77" t="s">
        <v>84</v>
      </c>
      <c r="M299" s="54">
        <v>901469580</v>
      </c>
      <c r="N299" s="30" t="s">
        <v>97</v>
      </c>
      <c r="O299" s="2" t="s">
        <v>1527</v>
      </c>
      <c r="P299" s="73" t="s">
        <v>318</v>
      </c>
      <c r="Q299" s="3"/>
      <c r="R299" s="32">
        <f>+Tabla1513[[#This Row],[VALOR INICIAL DEL CONTRATO CON IVA]]+Tabla1513[[#This Row],[VALOR DE LAS ADICIONES CON IVA]]</f>
        <v>139140965</v>
      </c>
      <c r="S299" s="48">
        <f>+Tabla1513[[#This Row],[FECHA TERMINACIÓN INICIAL CONTRATO]]-Tabla1513[[#This Row],[FECHA INICIO CONTRATO]]</f>
        <v>364</v>
      </c>
      <c r="T299" s="24" t="s">
        <v>318</v>
      </c>
      <c r="U299" s="4"/>
      <c r="V299" s="24" t="s">
        <v>318</v>
      </c>
      <c r="W299" s="70">
        <v>45778</v>
      </c>
      <c r="X299" s="70">
        <v>46142</v>
      </c>
      <c r="Y299" s="70">
        <v>46142</v>
      </c>
      <c r="Z299" s="72" t="s">
        <v>319</v>
      </c>
      <c r="AA299" s="60"/>
      <c r="AB299" s="131"/>
      <c r="AC299" s="56" t="s">
        <v>1529</v>
      </c>
      <c r="AD299" s="34"/>
      <c r="AE299" s="34"/>
      <c r="AF299" s="35"/>
      <c r="AG299" s="42" t="s">
        <v>1669</v>
      </c>
      <c r="AH299" s="63">
        <v>2025</v>
      </c>
    </row>
    <row r="300" spans="1:34" ht="29" x14ac:dyDescent="0.35">
      <c r="A300" s="55" t="s">
        <v>330</v>
      </c>
      <c r="B300" s="2" t="s">
        <v>310</v>
      </c>
      <c r="C300" s="30" t="s">
        <v>25</v>
      </c>
      <c r="D300" s="2" t="s">
        <v>313</v>
      </c>
      <c r="E300" s="96" t="s">
        <v>1572</v>
      </c>
      <c r="F300" s="70">
        <v>45833</v>
      </c>
      <c r="G300" s="30" t="s">
        <v>150</v>
      </c>
      <c r="H300" s="94" t="s">
        <v>1573</v>
      </c>
      <c r="I300" s="111">
        <v>39642484</v>
      </c>
      <c r="J300" s="101">
        <v>7532072</v>
      </c>
      <c r="K300" s="47">
        <v>47174556</v>
      </c>
      <c r="L300" s="77" t="s">
        <v>84</v>
      </c>
      <c r="M300" s="54">
        <v>900054586</v>
      </c>
      <c r="N300" s="30" t="s">
        <v>85</v>
      </c>
      <c r="O300" s="2" t="s">
        <v>1574</v>
      </c>
      <c r="P300" s="73" t="s">
        <v>318</v>
      </c>
      <c r="Q300" s="3"/>
      <c r="R300" s="32">
        <f>+Tabla1513[[#This Row],[VALOR INICIAL DEL CONTRATO CON IVA]]+Tabla1513[[#This Row],[VALOR DE LAS ADICIONES CON IVA]]</f>
        <v>47174556</v>
      </c>
      <c r="S300" s="48">
        <f>+Tabla1513[[#This Row],[FECHA TERMINACIÓN INICIAL CONTRATO]]-Tabla1513[[#This Row],[FECHA INICIO CONTRATO]]</f>
        <v>729</v>
      </c>
      <c r="T300" s="24" t="s">
        <v>318</v>
      </c>
      <c r="U300" s="4"/>
      <c r="V300" s="24" t="s">
        <v>318</v>
      </c>
      <c r="W300" s="70">
        <v>45902</v>
      </c>
      <c r="X300" s="70">
        <v>46631</v>
      </c>
      <c r="Y300" s="70">
        <v>46631</v>
      </c>
      <c r="Z300" s="72" t="s">
        <v>319</v>
      </c>
      <c r="AA300" s="60"/>
      <c r="AB300" s="131"/>
      <c r="AC300" s="56" t="s">
        <v>434</v>
      </c>
      <c r="AD300" s="34"/>
      <c r="AE300" s="34"/>
      <c r="AF300" s="35"/>
      <c r="AG300" s="36" t="s">
        <v>1635</v>
      </c>
      <c r="AH300" s="63">
        <v>2025</v>
      </c>
    </row>
    <row r="301" spans="1:34" ht="58" x14ac:dyDescent="0.35">
      <c r="A301" s="55" t="s">
        <v>330</v>
      </c>
      <c r="B301" s="2" t="s">
        <v>310</v>
      </c>
      <c r="C301" s="30" t="s">
        <v>869</v>
      </c>
      <c r="D301" s="2" t="s">
        <v>313</v>
      </c>
      <c r="E301" s="96" t="s">
        <v>1575</v>
      </c>
      <c r="F301" s="70">
        <v>45839</v>
      </c>
      <c r="G301" s="30" t="s">
        <v>150</v>
      </c>
      <c r="H301" s="94" t="s">
        <v>1576</v>
      </c>
      <c r="I301" s="111">
        <v>40000000</v>
      </c>
      <c r="J301" s="101">
        <v>0</v>
      </c>
      <c r="K301" s="47">
        <v>40000000</v>
      </c>
      <c r="L301" s="77" t="s">
        <v>84</v>
      </c>
      <c r="M301" s="54">
        <v>860078643</v>
      </c>
      <c r="N301" s="30" t="s">
        <v>91</v>
      </c>
      <c r="O301" s="2" t="s">
        <v>725</v>
      </c>
      <c r="P301" s="73" t="s">
        <v>318</v>
      </c>
      <c r="Q301" s="3"/>
      <c r="R301" s="32">
        <f>+Tabla1513[[#This Row],[VALOR INICIAL DEL CONTRATO CON IVA]]+Tabla1513[[#This Row],[VALOR DE LAS ADICIONES CON IVA]]</f>
        <v>40000000</v>
      </c>
      <c r="S301" s="48">
        <f>+Tabla1513[[#This Row],[FECHA TERMINACIÓN INICIAL CONTRATO]]-Tabla1513[[#This Row],[FECHA INICIO CONTRATO]]</f>
        <v>183</v>
      </c>
      <c r="T301" s="24" t="s">
        <v>318</v>
      </c>
      <c r="U301" s="4"/>
      <c r="V301" s="24" t="s">
        <v>318</v>
      </c>
      <c r="W301" s="70">
        <v>45839</v>
      </c>
      <c r="X301" s="70">
        <v>46022</v>
      </c>
      <c r="Y301" s="70">
        <v>46022</v>
      </c>
      <c r="Z301" s="72" t="s">
        <v>319</v>
      </c>
      <c r="AA301" s="60"/>
      <c r="AB301" s="131"/>
      <c r="AC301" s="56" t="s">
        <v>1445</v>
      </c>
      <c r="AD301" s="34"/>
      <c r="AE301" s="34"/>
      <c r="AF301" s="35"/>
      <c r="AG301" s="42" t="s">
        <v>1670</v>
      </c>
      <c r="AH301" s="63">
        <v>2025</v>
      </c>
    </row>
    <row r="302" spans="1:34" ht="29" x14ac:dyDescent="0.35">
      <c r="A302" s="55" t="s">
        <v>330</v>
      </c>
      <c r="B302" s="2" t="s">
        <v>473</v>
      </c>
      <c r="C302" s="30" t="s">
        <v>63</v>
      </c>
      <c r="D302" s="2" t="s">
        <v>313</v>
      </c>
      <c r="E302" s="96" t="s">
        <v>1525</v>
      </c>
      <c r="F302" s="70">
        <v>45835</v>
      </c>
      <c r="G302" s="30" t="s">
        <v>150</v>
      </c>
      <c r="H302" s="94" t="s">
        <v>909</v>
      </c>
      <c r="I302" s="111">
        <v>150000000</v>
      </c>
      <c r="J302" s="101">
        <v>28500000</v>
      </c>
      <c r="K302" s="47">
        <v>178500000</v>
      </c>
      <c r="L302" s="77" t="s">
        <v>84</v>
      </c>
      <c r="M302" s="54">
        <v>901354358</v>
      </c>
      <c r="N302" s="30" t="s">
        <v>123</v>
      </c>
      <c r="O302" s="2" t="s">
        <v>1528</v>
      </c>
      <c r="P302" s="73" t="s">
        <v>318</v>
      </c>
      <c r="Q302" s="3"/>
      <c r="R302" s="32">
        <f>+Tabla1513[[#This Row],[VALOR INICIAL DEL CONTRATO CON IVA]]+Tabla1513[[#This Row],[VALOR DE LAS ADICIONES CON IVA]]</f>
        <v>178500000</v>
      </c>
      <c r="S302" s="48">
        <f>+Tabla1513[[#This Row],[FECHA TERMINACIÓN INICIAL CONTRATO]]-Tabla1513[[#This Row],[FECHA INICIO CONTRATO]]</f>
        <v>364</v>
      </c>
      <c r="T302" s="24" t="s">
        <v>318</v>
      </c>
      <c r="U302" s="4"/>
      <c r="V302" s="24" t="s">
        <v>318</v>
      </c>
      <c r="W302" s="70">
        <v>45835</v>
      </c>
      <c r="X302" s="70">
        <v>46199</v>
      </c>
      <c r="Y302" s="70">
        <v>46199</v>
      </c>
      <c r="Z302" s="72" t="s">
        <v>319</v>
      </c>
      <c r="AA302" s="60"/>
      <c r="AB302" s="131"/>
      <c r="AC302" s="56" t="s">
        <v>312</v>
      </c>
      <c r="AD302" s="34"/>
      <c r="AE302" s="34"/>
      <c r="AF302" s="35"/>
      <c r="AG302" s="36" t="s">
        <v>1813</v>
      </c>
      <c r="AH302" s="63">
        <v>2025</v>
      </c>
    </row>
    <row r="303" spans="1:34" ht="29" x14ac:dyDescent="0.35">
      <c r="A303" s="55" t="s">
        <v>330</v>
      </c>
      <c r="B303" s="2" t="s">
        <v>473</v>
      </c>
      <c r="C303" s="30" t="s">
        <v>63</v>
      </c>
      <c r="D303" s="2" t="s">
        <v>313</v>
      </c>
      <c r="E303" s="96" t="s">
        <v>1577</v>
      </c>
      <c r="F303" s="70">
        <v>45840</v>
      </c>
      <c r="G303" s="30" t="s">
        <v>150</v>
      </c>
      <c r="H303" s="94" t="s">
        <v>909</v>
      </c>
      <c r="I303" s="111">
        <v>400000000</v>
      </c>
      <c r="J303" s="101">
        <v>76000000</v>
      </c>
      <c r="K303" s="47">
        <v>476000000</v>
      </c>
      <c r="L303" s="77" t="s">
        <v>84</v>
      </c>
      <c r="M303" s="54">
        <v>901179865</v>
      </c>
      <c r="N303" s="30" t="s">
        <v>91</v>
      </c>
      <c r="O303" s="2" t="s">
        <v>809</v>
      </c>
      <c r="P303" s="73" t="s">
        <v>318</v>
      </c>
      <c r="Q303" s="3"/>
      <c r="R303" s="32">
        <f>+Tabla1513[[#This Row],[VALOR INICIAL DEL CONTRATO CON IVA]]+Tabla1513[[#This Row],[VALOR DE LAS ADICIONES CON IVA]]</f>
        <v>476000000</v>
      </c>
      <c r="S303" s="48">
        <f>+Tabla1513[[#This Row],[FECHA TERMINACIÓN INICIAL CONTRATO]]-Tabla1513[[#This Row],[FECHA INICIO CONTRATO]]</f>
        <v>364</v>
      </c>
      <c r="T303" s="24" t="s">
        <v>318</v>
      </c>
      <c r="U303" s="4"/>
      <c r="V303" s="24" t="s">
        <v>318</v>
      </c>
      <c r="W303" s="70">
        <v>45840</v>
      </c>
      <c r="X303" s="70">
        <v>46204</v>
      </c>
      <c r="Y303" s="70">
        <v>46204</v>
      </c>
      <c r="Z303" s="72" t="s">
        <v>319</v>
      </c>
      <c r="AA303" s="60"/>
      <c r="AB303" s="131"/>
      <c r="AC303" s="56" t="s">
        <v>312</v>
      </c>
      <c r="AD303" s="34"/>
      <c r="AE303" s="34"/>
      <c r="AF303" s="35"/>
      <c r="AG303" s="36" t="s">
        <v>1636</v>
      </c>
      <c r="AH303" s="63">
        <v>2025</v>
      </c>
    </row>
    <row r="304" spans="1:34" ht="72.5" x14ac:dyDescent="0.35">
      <c r="A304" s="55" t="s">
        <v>330</v>
      </c>
      <c r="B304" s="2" t="s">
        <v>11</v>
      </c>
      <c r="C304" s="30" t="s">
        <v>476</v>
      </c>
      <c r="D304" s="2" t="s">
        <v>313</v>
      </c>
      <c r="E304" s="96" t="s">
        <v>1578</v>
      </c>
      <c r="F304" s="70">
        <v>45840</v>
      </c>
      <c r="G304" s="30" t="s">
        <v>150</v>
      </c>
      <c r="H304" s="94" t="s">
        <v>1579</v>
      </c>
      <c r="I304" s="111">
        <v>594956370</v>
      </c>
      <c r="J304" s="101">
        <v>113041710</v>
      </c>
      <c r="K304" s="47">
        <v>707998080</v>
      </c>
      <c r="L304" s="77" t="s">
        <v>84</v>
      </c>
      <c r="M304" s="54">
        <v>800222753</v>
      </c>
      <c r="N304" s="30" t="s">
        <v>97</v>
      </c>
      <c r="O304" s="2" t="s">
        <v>1580</v>
      </c>
      <c r="P304" s="73" t="s">
        <v>318</v>
      </c>
      <c r="Q304" s="3"/>
      <c r="R304" s="32">
        <f>+Tabla1513[[#This Row],[VALOR INICIAL DEL CONTRATO CON IVA]]+Tabla1513[[#This Row],[VALOR DE LAS ADICIONES CON IVA]]</f>
        <v>707998080</v>
      </c>
      <c r="S304" s="48">
        <f>+Tabla1513[[#This Row],[FECHA TERMINACIÓN INICIAL CONTRATO]]-Tabla1513[[#This Row],[FECHA INICIO CONTRATO]]</f>
        <v>730</v>
      </c>
      <c r="T304" s="24" t="s">
        <v>318</v>
      </c>
      <c r="U304" s="4"/>
      <c r="V304" s="24" t="s">
        <v>318</v>
      </c>
      <c r="W304" s="70">
        <v>45840</v>
      </c>
      <c r="X304" s="70">
        <v>46570</v>
      </c>
      <c r="Y304" s="70">
        <v>46570</v>
      </c>
      <c r="Z304" s="72" t="s">
        <v>319</v>
      </c>
      <c r="AA304" s="60"/>
      <c r="AB304" s="131"/>
      <c r="AC304" s="56" t="s">
        <v>1581</v>
      </c>
      <c r="AD304" s="34"/>
      <c r="AE304" s="34"/>
      <c r="AF304" s="35"/>
      <c r="AG304" s="36" t="s">
        <v>1637</v>
      </c>
      <c r="AH304" s="63">
        <v>2025</v>
      </c>
    </row>
    <row r="305" spans="1:34" ht="43.5" x14ac:dyDescent="0.35">
      <c r="A305" s="55" t="s">
        <v>330</v>
      </c>
      <c r="B305" s="2" t="s">
        <v>11</v>
      </c>
      <c r="C305" s="30" t="s">
        <v>19</v>
      </c>
      <c r="D305" s="2" t="s">
        <v>714</v>
      </c>
      <c r="E305" s="96" t="s">
        <v>1566</v>
      </c>
      <c r="F305" s="70">
        <v>45835</v>
      </c>
      <c r="G305" s="30" t="s">
        <v>142</v>
      </c>
      <c r="H305" s="94" t="s">
        <v>1567</v>
      </c>
      <c r="I305" s="111">
        <v>3551527</v>
      </c>
      <c r="J305" s="101">
        <v>674790</v>
      </c>
      <c r="K305" s="47">
        <v>4226317</v>
      </c>
      <c r="L305" s="77" t="s">
        <v>84</v>
      </c>
      <c r="M305" s="54">
        <v>860510826</v>
      </c>
      <c r="N305" s="30" t="s">
        <v>111</v>
      </c>
      <c r="O305" s="2" t="s">
        <v>1568</v>
      </c>
      <c r="P305" s="73" t="s">
        <v>318</v>
      </c>
      <c r="Q305" s="3"/>
      <c r="R305" s="32">
        <f>+Tabla1513[[#This Row],[VALOR INICIAL DEL CONTRATO CON IVA]]+Tabla1513[[#This Row],[VALOR DE LAS ADICIONES CON IVA]]</f>
        <v>4226317</v>
      </c>
      <c r="S305" s="48">
        <f>+Tabla1513[[#This Row],[FECHA TERMINACIÓN INICIAL CONTRATO]]-Tabla1513[[#This Row],[FECHA INICIO CONTRATO]]</f>
        <v>365</v>
      </c>
      <c r="T305" s="24" t="s">
        <v>318</v>
      </c>
      <c r="U305" s="4"/>
      <c r="V305" s="24" t="s">
        <v>318</v>
      </c>
      <c r="W305" s="70">
        <v>45835</v>
      </c>
      <c r="X305" s="70">
        <v>46200</v>
      </c>
      <c r="Y305" s="70">
        <v>46200</v>
      </c>
      <c r="Z305" s="72" t="s">
        <v>319</v>
      </c>
      <c r="AA305" s="60"/>
      <c r="AB305" s="131"/>
      <c r="AC305" s="56" t="s">
        <v>1033</v>
      </c>
      <c r="AD305" s="34"/>
      <c r="AE305" s="34"/>
      <c r="AF305" s="35"/>
      <c r="AG305" s="36" t="s">
        <v>1671</v>
      </c>
      <c r="AH305" s="63">
        <v>2025</v>
      </c>
    </row>
    <row r="306" spans="1:34" ht="29" x14ac:dyDescent="0.35">
      <c r="A306" s="55" t="s">
        <v>330</v>
      </c>
      <c r="B306" s="2" t="s">
        <v>422</v>
      </c>
      <c r="C306" s="30" t="s">
        <v>45</v>
      </c>
      <c r="D306" s="2" t="s">
        <v>714</v>
      </c>
      <c r="E306" s="96" t="s">
        <v>1582</v>
      </c>
      <c r="F306" s="70">
        <v>45842</v>
      </c>
      <c r="G306" s="30" t="s">
        <v>150</v>
      </c>
      <c r="H306" s="94" t="s">
        <v>1584</v>
      </c>
      <c r="I306" s="111">
        <v>1610000</v>
      </c>
      <c r="J306" s="101">
        <v>305900</v>
      </c>
      <c r="K306" s="47">
        <v>1915900</v>
      </c>
      <c r="L306" s="77" t="s">
        <v>96</v>
      </c>
      <c r="M306" s="54">
        <v>79506641</v>
      </c>
      <c r="N306" s="30"/>
      <c r="O306" s="2" t="s">
        <v>566</v>
      </c>
      <c r="P306" s="73" t="s">
        <v>318</v>
      </c>
      <c r="Q306" s="3"/>
      <c r="R306" s="32">
        <f>+Tabla1513[[#This Row],[VALOR INICIAL DEL CONTRATO CON IVA]]+Tabla1513[[#This Row],[VALOR DE LAS ADICIONES CON IVA]]</f>
        <v>1915900</v>
      </c>
      <c r="S306" s="48">
        <f>+Tabla1513[[#This Row],[FECHA TERMINACIÓN INICIAL CONTRATO]]-Tabla1513[[#This Row],[FECHA INICIO CONTRATO]]</f>
        <v>364</v>
      </c>
      <c r="T306" s="24" t="s">
        <v>318</v>
      </c>
      <c r="U306" s="4"/>
      <c r="V306" s="24" t="s">
        <v>318</v>
      </c>
      <c r="W306" s="70">
        <v>45870</v>
      </c>
      <c r="X306" s="70">
        <v>46234</v>
      </c>
      <c r="Y306" s="70">
        <v>46234</v>
      </c>
      <c r="Z306" s="72" t="s">
        <v>319</v>
      </c>
      <c r="AA306" s="60"/>
      <c r="AB306" s="131"/>
      <c r="AC306" s="56" t="s">
        <v>424</v>
      </c>
      <c r="AD306" s="34"/>
      <c r="AE306" s="34"/>
      <c r="AF306" s="35"/>
      <c r="AG306" s="36" t="s">
        <v>1672</v>
      </c>
      <c r="AH306" s="63">
        <v>2025</v>
      </c>
    </row>
    <row r="307" spans="1:34" ht="29" x14ac:dyDescent="0.35">
      <c r="A307" s="55" t="s">
        <v>330</v>
      </c>
      <c r="B307" s="2" t="s">
        <v>473</v>
      </c>
      <c r="C307" s="30" t="s">
        <v>63</v>
      </c>
      <c r="D307" s="2" t="s">
        <v>313</v>
      </c>
      <c r="E307" s="96" t="s">
        <v>1583</v>
      </c>
      <c r="F307" s="70">
        <v>45845</v>
      </c>
      <c r="G307" s="30" t="s">
        <v>150</v>
      </c>
      <c r="H307" s="94" t="s">
        <v>909</v>
      </c>
      <c r="I307" s="111">
        <v>200000000</v>
      </c>
      <c r="J307" s="101">
        <v>38000000</v>
      </c>
      <c r="K307" s="47">
        <v>238000000</v>
      </c>
      <c r="L307" s="77" t="s">
        <v>84</v>
      </c>
      <c r="M307" s="54">
        <v>900701533</v>
      </c>
      <c r="N307" s="30" t="s">
        <v>117</v>
      </c>
      <c r="O307" s="2" t="s">
        <v>1585</v>
      </c>
      <c r="P307" s="73" t="s">
        <v>318</v>
      </c>
      <c r="Q307" s="3"/>
      <c r="R307" s="32">
        <f>+Tabla1513[[#This Row],[VALOR INICIAL DEL CONTRATO CON IVA]]+Tabla1513[[#This Row],[VALOR DE LAS ADICIONES CON IVA]]</f>
        <v>238000000</v>
      </c>
      <c r="S307" s="48">
        <f>+Tabla1513[[#This Row],[FECHA TERMINACIÓN INICIAL CONTRATO]]-Tabla1513[[#This Row],[FECHA INICIO CONTRATO]]</f>
        <v>364</v>
      </c>
      <c r="T307" s="24" t="s">
        <v>318</v>
      </c>
      <c r="U307" s="4"/>
      <c r="V307" s="24" t="s">
        <v>318</v>
      </c>
      <c r="W307" s="70">
        <v>45845</v>
      </c>
      <c r="X307" s="70">
        <v>46209</v>
      </c>
      <c r="Y307" s="70">
        <v>46209</v>
      </c>
      <c r="Z307" s="72" t="s">
        <v>319</v>
      </c>
      <c r="AA307" s="60"/>
      <c r="AB307" s="131"/>
      <c r="AC307" s="56" t="s">
        <v>312</v>
      </c>
      <c r="AD307" s="34"/>
      <c r="AE307" s="34"/>
      <c r="AF307" s="35"/>
      <c r="AG307" s="36" t="s">
        <v>1638</v>
      </c>
      <c r="AH307" s="63">
        <v>2025</v>
      </c>
    </row>
    <row r="308" spans="1:34" ht="29" x14ac:dyDescent="0.35">
      <c r="A308" s="55" t="s">
        <v>330</v>
      </c>
      <c r="B308" s="2" t="s">
        <v>11</v>
      </c>
      <c r="C308" s="30" t="s">
        <v>19</v>
      </c>
      <c r="D308" s="2" t="s">
        <v>714</v>
      </c>
      <c r="E308" s="96" t="s">
        <v>1569</v>
      </c>
      <c r="F308" s="70">
        <v>45832</v>
      </c>
      <c r="G308" s="30" t="s">
        <v>150</v>
      </c>
      <c r="H308" s="94" t="s">
        <v>1586</v>
      </c>
      <c r="I308" s="111">
        <v>2748000</v>
      </c>
      <c r="J308" s="101">
        <v>0</v>
      </c>
      <c r="K308" s="47">
        <v>2748000</v>
      </c>
      <c r="L308" s="77" t="s">
        <v>84</v>
      </c>
      <c r="M308" s="54">
        <v>860042209</v>
      </c>
      <c r="N308" s="30" t="s">
        <v>97</v>
      </c>
      <c r="O308" s="2" t="s">
        <v>1570</v>
      </c>
      <c r="P308" s="73" t="s">
        <v>318</v>
      </c>
      <c r="Q308" s="3"/>
      <c r="R308" s="32">
        <f>+Tabla1513[[#This Row],[VALOR INICIAL DEL CONTRATO CON IVA]]+Tabla1513[[#This Row],[VALOR DE LAS ADICIONES CON IVA]]</f>
        <v>2748000</v>
      </c>
      <c r="S308" s="48">
        <f>+Tabla1513[[#This Row],[FECHA TERMINACIÓN INICIAL CONTRATO]]-Tabla1513[[#This Row],[FECHA INICIO CONTRATO]]</f>
        <v>1096</v>
      </c>
      <c r="T308" s="24" t="s">
        <v>318</v>
      </c>
      <c r="U308" s="4"/>
      <c r="V308" s="24" t="s">
        <v>318</v>
      </c>
      <c r="W308" s="70">
        <v>45832</v>
      </c>
      <c r="X308" s="70">
        <v>46928</v>
      </c>
      <c r="Y308" s="70">
        <v>46928</v>
      </c>
      <c r="Z308" s="72" t="s">
        <v>319</v>
      </c>
      <c r="AA308" s="60"/>
      <c r="AB308" s="131"/>
      <c r="AC308" s="56" t="s">
        <v>535</v>
      </c>
      <c r="AD308" s="34"/>
      <c r="AE308" s="34"/>
      <c r="AF308" s="35"/>
      <c r="AG308" s="36" t="s">
        <v>1673</v>
      </c>
      <c r="AH308" s="63">
        <v>2025</v>
      </c>
    </row>
    <row r="309" spans="1:34" ht="58" x14ac:dyDescent="0.35">
      <c r="A309" s="55" t="s">
        <v>330</v>
      </c>
      <c r="B309" s="2" t="s">
        <v>310</v>
      </c>
      <c r="C309" s="30" t="s">
        <v>37</v>
      </c>
      <c r="D309" s="2" t="s">
        <v>313</v>
      </c>
      <c r="E309" s="96" t="s">
        <v>1590</v>
      </c>
      <c r="F309" s="70">
        <v>45847</v>
      </c>
      <c r="G309" s="30" t="s">
        <v>150</v>
      </c>
      <c r="H309" s="94" t="s">
        <v>1591</v>
      </c>
      <c r="I309" s="111">
        <v>53025000</v>
      </c>
      <c r="J309" s="101">
        <v>10074750</v>
      </c>
      <c r="K309" s="47">
        <v>63099750</v>
      </c>
      <c r="L309" s="77" t="s">
        <v>84</v>
      </c>
      <c r="M309" s="54">
        <v>900234657</v>
      </c>
      <c r="N309" s="30" t="s">
        <v>120</v>
      </c>
      <c r="O309" s="2" t="s">
        <v>595</v>
      </c>
      <c r="P309" s="73" t="s">
        <v>318</v>
      </c>
      <c r="Q309" s="3"/>
      <c r="R309" s="32">
        <f>+Tabla1513[[#This Row],[VALOR INICIAL DEL CONTRATO CON IVA]]+Tabla1513[[#This Row],[VALOR DE LAS ADICIONES CON IVA]]</f>
        <v>63099750</v>
      </c>
      <c r="S309" s="48">
        <f>+Tabla1513[[#This Row],[FECHA TERMINACIÓN INICIAL CONTRATO]]-Tabla1513[[#This Row],[FECHA INICIO CONTRATO]]</f>
        <v>456</v>
      </c>
      <c r="T309" s="24" t="s">
        <v>318</v>
      </c>
      <c r="U309" s="4"/>
      <c r="V309" s="24" t="s">
        <v>318</v>
      </c>
      <c r="W309" s="70">
        <v>45902</v>
      </c>
      <c r="X309" s="70">
        <v>46358</v>
      </c>
      <c r="Y309" s="70">
        <v>46358</v>
      </c>
      <c r="Z309" s="72" t="s">
        <v>319</v>
      </c>
      <c r="AA309" s="60"/>
      <c r="AB309" s="131"/>
      <c r="AC309" s="56" t="s">
        <v>574</v>
      </c>
      <c r="AD309" s="34"/>
      <c r="AE309" s="34"/>
      <c r="AF309" s="35"/>
      <c r="AG309" s="36" t="s">
        <v>1814</v>
      </c>
      <c r="AH309" s="63">
        <v>2025</v>
      </c>
    </row>
    <row r="310" spans="1:34" ht="43.5" x14ac:dyDescent="0.35">
      <c r="A310" s="55" t="s">
        <v>330</v>
      </c>
      <c r="B310" s="2" t="s">
        <v>11</v>
      </c>
      <c r="C310" s="30" t="s">
        <v>20</v>
      </c>
      <c r="D310" s="2" t="s">
        <v>313</v>
      </c>
      <c r="E310" s="96" t="s">
        <v>1592</v>
      </c>
      <c r="F310" s="70">
        <v>45848</v>
      </c>
      <c r="G310" s="30" t="s">
        <v>150</v>
      </c>
      <c r="H310" s="94" t="s">
        <v>1594</v>
      </c>
      <c r="I310" s="111">
        <v>50000000</v>
      </c>
      <c r="J310" s="101">
        <v>9500000</v>
      </c>
      <c r="K310" s="47">
        <v>59500000</v>
      </c>
      <c r="L310" s="77" t="s">
        <v>84</v>
      </c>
      <c r="M310" s="54">
        <v>901463672</v>
      </c>
      <c r="N310" s="30" t="s">
        <v>108</v>
      </c>
      <c r="O310" s="2" t="s">
        <v>1595</v>
      </c>
      <c r="P310" s="73" t="s">
        <v>318</v>
      </c>
      <c r="Q310" s="3"/>
      <c r="R310" s="32">
        <f>+Tabla1513[[#This Row],[VALOR INICIAL DEL CONTRATO CON IVA]]+Tabla1513[[#This Row],[VALOR DE LAS ADICIONES CON IVA]]</f>
        <v>59500000</v>
      </c>
      <c r="S310" s="48">
        <f>+Tabla1513[[#This Row],[FECHA TERMINACIÓN INICIAL CONTRATO]]-Tabla1513[[#This Row],[FECHA INICIO CONTRATO]]</f>
        <v>153</v>
      </c>
      <c r="T310" s="24" t="s">
        <v>318</v>
      </c>
      <c r="U310" s="4"/>
      <c r="V310" s="24" t="s">
        <v>318</v>
      </c>
      <c r="W310" s="70">
        <v>45854</v>
      </c>
      <c r="X310" s="70">
        <v>46007</v>
      </c>
      <c r="Y310" s="70">
        <v>46007</v>
      </c>
      <c r="Z310" s="72" t="s">
        <v>319</v>
      </c>
      <c r="AA310" s="60"/>
      <c r="AB310" s="131"/>
      <c r="AC310" s="56" t="s">
        <v>1063</v>
      </c>
      <c r="AD310" s="34"/>
      <c r="AE310" s="34"/>
      <c r="AF310" s="35"/>
      <c r="AG310" s="36" t="s">
        <v>1639</v>
      </c>
      <c r="AH310" s="63">
        <v>2025</v>
      </c>
    </row>
    <row r="311" spans="1:34" ht="43.5" x14ac:dyDescent="0.35">
      <c r="A311" s="55" t="s">
        <v>330</v>
      </c>
      <c r="B311" s="2" t="s">
        <v>11</v>
      </c>
      <c r="C311" s="30" t="s">
        <v>20</v>
      </c>
      <c r="D311" s="2" t="s">
        <v>313</v>
      </c>
      <c r="E311" s="96" t="s">
        <v>1593</v>
      </c>
      <c r="F311" s="70">
        <v>45852</v>
      </c>
      <c r="G311" s="30" t="s">
        <v>150</v>
      </c>
      <c r="H311" s="94" t="s">
        <v>1596</v>
      </c>
      <c r="I311" s="111">
        <v>17855369</v>
      </c>
      <c r="J311" s="101">
        <v>3392520</v>
      </c>
      <c r="K311" s="47">
        <v>21247889</v>
      </c>
      <c r="L311" s="77" t="s">
        <v>84</v>
      </c>
      <c r="M311" s="54">
        <v>860012336</v>
      </c>
      <c r="N311" s="30" t="s">
        <v>91</v>
      </c>
      <c r="O311" s="2" t="s">
        <v>813</v>
      </c>
      <c r="P311" s="73" t="s">
        <v>318</v>
      </c>
      <c r="Q311" s="3"/>
      <c r="R311" s="32">
        <f>+Tabla1513[[#This Row],[VALOR INICIAL DEL CONTRATO CON IVA]]+Tabla1513[[#This Row],[VALOR DE LAS ADICIONES CON IVA]]</f>
        <v>21247889</v>
      </c>
      <c r="S311" s="48">
        <f>+Tabla1513[[#This Row],[FECHA TERMINACIÓN INICIAL CONTRATO]]-Tabla1513[[#This Row],[FECHA INICIO CONTRATO]]</f>
        <v>184</v>
      </c>
      <c r="T311" s="24" t="s">
        <v>318</v>
      </c>
      <c r="U311" s="4"/>
      <c r="V311" s="24" t="s">
        <v>318</v>
      </c>
      <c r="W311" s="70">
        <v>45852</v>
      </c>
      <c r="X311" s="70">
        <v>46036</v>
      </c>
      <c r="Y311" s="70">
        <v>46036</v>
      </c>
      <c r="Z311" s="72" t="s">
        <v>319</v>
      </c>
      <c r="AA311" s="60"/>
      <c r="AB311" s="131"/>
      <c r="AC311" s="56" t="s">
        <v>434</v>
      </c>
      <c r="AD311" s="34"/>
      <c r="AE311" s="34"/>
      <c r="AF311" s="35"/>
      <c r="AG311" s="36" t="s">
        <v>1677</v>
      </c>
      <c r="AH311" s="63">
        <v>2025</v>
      </c>
    </row>
    <row r="312" spans="1:34" ht="29" x14ac:dyDescent="0.35">
      <c r="A312" s="55" t="s">
        <v>330</v>
      </c>
      <c r="B312" s="2" t="s">
        <v>473</v>
      </c>
      <c r="C312" s="132" t="s">
        <v>63</v>
      </c>
      <c r="D312" s="2" t="s">
        <v>313</v>
      </c>
      <c r="E312" s="96" t="s">
        <v>1597</v>
      </c>
      <c r="F312" s="70">
        <v>45849</v>
      </c>
      <c r="G312" s="30" t="s">
        <v>150</v>
      </c>
      <c r="H312" s="94" t="s">
        <v>909</v>
      </c>
      <c r="I312" s="111">
        <v>150000000</v>
      </c>
      <c r="J312" s="101">
        <v>28500000</v>
      </c>
      <c r="K312" s="47">
        <v>178500000</v>
      </c>
      <c r="L312" s="77" t="s">
        <v>84</v>
      </c>
      <c r="M312" s="54">
        <v>901830041</v>
      </c>
      <c r="N312" s="30" t="s">
        <v>91</v>
      </c>
      <c r="O312" s="2" t="s">
        <v>1598</v>
      </c>
      <c r="P312" s="73" t="s">
        <v>318</v>
      </c>
      <c r="Q312" s="3"/>
      <c r="R312" s="32">
        <f>+Tabla1513[[#This Row],[VALOR INICIAL DEL CONTRATO CON IVA]]+Tabla1513[[#This Row],[VALOR DE LAS ADICIONES CON IVA]]</f>
        <v>178500000</v>
      </c>
      <c r="S312" s="48">
        <f>+Tabla1513[[#This Row],[FECHA TERMINACIÓN INICIAL CONTRATO]]-Tabla1513[[#This Row],[FECHA INICIO CONTRATO]]</f>
        <v>364</v>
      </c>
      <c r="T312" s="24" t="s">
        <v>318</v>
      </c>
      <c r="U312" s="4"/>
      <c r="V312" s="24" t="s">
        <v>318</v>
      </c>
      <c r="W312" s="70">
        <v>45849</v>
      </c>
      <c r="X312" s="70">
        <v>46213</v>
      </c>
      <c r="Y312" s="70">
        <v>46213</v>
      </c>
      <c r="Z312" s="72" t="s">
        <v>319</v>
      </c>
      <c r="AA312" s="60"/>
      <c r="AB312" s="131"/>
      <c r="AC312" s="56" t="s">
        <v>312</v>
      </c>
      <c r="AD312" s="34"/>
      <c r="AE312" s="34"/>
      <c r="AF312" s="35"/>
      <c r="AG312" s="36" t="s">
        <v>1640</v>
      </c>
      <c r="AH312" s="63">
        <v>2025</v>
      </c>
    </row>
    <row r="313" spans="1:34" ht="43.5" x14ac:dyDescent="0.35">
      <c r="A313" s="55" t="s">
        <v>330</v>
      </c>
      <c r="B313" s="2" t="s">
        <v>440</v>
      </c>
      <c r="C313" s="30" t="s">
        <v>818</v>
      </c>
      <c r="D313" s="2" t="s">
        <v>313</v>
      </c>
      <c r="E313" s="96" t="s">
        <v>1599</v>
      </c>
      <c r="F313" s="70">
        <v>45852</v>
      </c>
      <c r="G313" s="30" t="s">
        <v>150</v>
      </c>
      <c r="H313" s="94" t="s">
        <v>1600</v>
      </c>
      <c r="I313" s="111">
        <v>24370920</v>
      </c>
      <c r="J313" s="101">
        <v>0</v>
      </c>
      <c r="K313" s="47">
        <v>24370920</v>
      </c>
      <c r="L313" s="77" t="s">
        <v>96</v>
      </c>
      <c r="M313" s="54">
        <v>54469671</v>
      </c>
      <c r="N313" s="30"/>
      <c r="O313" s="2" t="s">
        <v>1601</v>
      </c>
      <c r="P313" s="73" t="s">
        <v>318</v>
      </c>
      <c r="Q313" s="3"/>
      <c r="R313" s="32">
        <f>+Tabla1513[[#This Row],[VALOR INICIAL DEL CONTRATO CON IVA]]+Tabla1513[[#This Row],[VALOR DE LAS ADICIONES CON IVA]]</f>
        <v>24370920</v>
      </c>
      <c r="S313" s="48">
        <f>+Tabla1513[[#This Row],[FECHA TERMINACIÓN INICIAL CONTRATO]]-Tabla1513[[#This Row],[FECHA INICIO CONTRATO]]</f>
        <v>121</v>
      </c>
      <c r="T313" s="24" t="s">
        <v>318</v>
      </c>
      <c r="U313" s="4"/>
      <c r="V313" s="24" t="s">
        <v>318</v>
      </c>
      <c r="W313" s="70">
        <v>45901</v>
      </c>
      <c r="X313" s="70">
        <v>46022</v>
      </c>
      <c r="Y313" s="70">
        <v>46022</v>
      </c>
      <c r="Z313" s="72" t="s">
        <v>319</v>
      </c>
      <c r="AA313" s="60"/>
      <c r="AB313" s="131"/>
      <c r="AC313" s="56" t="s">
        <v>441</v>
      </c>
      <c r="AD313" s="34"/>
      <c r="AE313" s="34"/>
      <c r="AF313" s="35"/>
      <c r="AG313" s="36" t="s">
        <v>1641</v>
      </c>
      <c r="AH313" s="63">
        <v>2025</v>
      </c>
    </row>
    <row r="314" spans="1:34" ht="29" x14ac:dyDescent="0.35">
      <c r="A314" s="55" t="s">
        <v>330</v>
      </c>
      <c r="B314" s="2" t="s">
        <v>11</v>
      </c>
      <c r="C314" s="30" t="s">
        <v>16</v>
      </c>
      <c r="D314" s="2" t="s">
        <v>313</v>
      </c>
      <c r="E314" s="96" t="s">
        <v>1699</v>
      </c>
      <c r="F314" s="70">
        <v>45860</v>
      </c>
      <c r="G314" s="30" t="s">
        <v>150</v>
      </c>
      <c r="H314" s="94" t="s">
        <v>1700</v>
      </c>
      <c r="I314" s="111">
        <v>37500000</v>
      </c>
      <c r="J314" s="101">
        <v>7125000</v>
      </c>
      <c r="K314" s="47">
        <v>44625000</v>
      </c>
      <c r="L314" s="77" t="s">
        <v>84</v>
      </c>
      <c r="M314" s="54">
        <v>901070251</v>
      </c>
      <c r="N314" s="30" t="s">
        <v>91</v>
      </c>
      <c r="O314" s="2" t="s">
        <v>1701</v>
      </c>
      <c r="P314" s="73" t="s">
        <v>318</v>
      </c>
      <c r="Q314" s="3"/>
      <c r="R314" s="32">
        <f>+Tabla1513[[#This Row],[VALOR INICIAL DEL CONTRATO CON IVA]]+Tabla1513[[#This Row],[VALOR DE LAS ADICIONES CON IVA]]</f>
        <v>44625000</v>
      </c>
      <c r="S314" s="48">
        <f>+Tabla1513[[#This Row],[FECHA TERMINACIÓN INICIAL CONTRATO]]-Tabla1513[[#This Row],[FECHA INICIO CONTRATO]]</f>
        <v>60</v>
      </c>
      <c r="T314" s="24" t="s">
        <v>318</v>
      </c>
      <c r="U314" s="4"/>
      <c r="V314" s="24" t="s">
        <v>318</v>
      </c>
      <c r="W314" s="70">
        <v>45860</v>
      </c>
      <c r="X314" s="70">
        <v>45920</v>
      </c>
      <c r="Y314" s="70">
        <v>45920</v>
      </c>
      <c r="Z314" s="72" t="s">
        <v>405</v>
      </c>
      <c r="AA314" s="60"/>
      <c r="AB314" s="56" t="s">
        <v>406</v>
      </c>
      <c r="AC314" s="56" t="s">
        <v>434</v>
      </c>
      <c r="AD314" s="34"/>
      <c r="AE314" s="34"/>
      <c r="AF314" s="35"/>
      <c r="AG314" s="36" t="s">
        <v>1815</v>
      </c>
      <c r="AH314" s="63">
        <v>2025</v>
      </c>
    </row>
    <row r="315" spans="1:34" ht="101.5" x14ac:dyDescent="0.35">
      <c r="A315" s="55" t="s">
        <v>330</v>
      </c>
      <c r="B315" s="2" t="s">
        <v>11</v>
      </c>
      <c r="C315" s="30" t="s">
        <v>18</v>
      </c>
      <c r="D315" s="2" t="s">
        <v>412</v>
      </c>
      <c r="E315" s="96" t="s">
        <v>1602</v>
      </c>
      <c r="F315" s="70">
        <v>45863</v>
      </c>
      <c r="G315" s="30" t="s">
        <v>150</v>
      </c>
      <c r="H315" s="94" t="s">
        <v>1604</v>
      </c>
      <c r="I315" s="111">
        <v>2390556519</v>
      </c>
      <c r="J315" s="101">
        <v>454205742</v>
      </c>
      <c r="K315" s="47">
        <v>2844762261</v>
      </c>
      <c r="L315" s="77" t="s">
        <v>84</v>
      </c>
      <c r="M315" s="54">
        <v>800064773</v>
      </c>
      <c r="N315" s="30" t="s">
        <v>91</v>
      </c>
      <c r="O315" s="2" t="s">
        <v>1605</v>
      </c>
      <c r="P315" s="73" t="s">
        <v>318</v>
      </c>
      <c r="Q315" s="3"/>
      <c r="R315" s="32">
        <f>+Tabla1513[[#This Row],[VALOR INICIAL DEL CONTRATO CON IVA]]+Tabla1513[[#This Row],[VALOR DE LAS ADICIONES CON IVA]]</f>
        <v>2844762261</v>
      </c>
      <c r="S315" s="48">
        <f>+Tabla1513[[#This Row],[FECHA TERMINACIÓN INICIAL CONTRATO]]-Tabla1513[[#This Row],[FECHA INICIO CONTRATO]]</f>
        <v>729</v>
      </c>
      <c r="T315" s="24" t="s">
        <v>318</v>
      </c>
      <c r="U315" s="4"/>
      <c r="V315" s="24" t="s">
        <v>318</v>
      </c>
      <c r="W315" s="70">
        <v>45863</v>
      </c>
      <c r="X315" s="70">
        <v>46592</v>
      </c>
      <c r="Y315" s="70">
        <v>46592</v>
      </c>
      <c r="Z315" s="72" t="s">
        <v>319</v>
      </c>
      <c r="AA315" s="60"/>
      <c r="AB315" s="131"/>
      <c r="AC315" s="76" t="s">
        <v>1608</v>
      </c>
      <c r="AD315" s="34"/>
      <c r="AE315" s="34"/>
      <c r="AF315" s="35"/>
      <c r="AG315" s="36" t="s">
        <v>1816</v>
      </c>
      <c r="AH315" s="63">
        <v>2025</v>
      </c>
    </row>
    <row r="316" spans="1:34" ht="43.5" x14ac:dyDescent="0.35">
      <c r="A316" s="55" t="s">
        <v>330</v>
      </c>
      <c r="B316" s="2" t="s">
        <v>440</v>
      </c>
      <c r="C316" s="30" t="s">
        <v>818</v>
      </c>
      <c r="D316" s="2" t="s">
        <v>313</v>
      </c>
      <c r="E316" s="96" t="s">
        <v>1603</v>
      </c>
      <c r="F316" s="70">
        <v>45866</v>
      </c>
      <c r="G316" s="30" t="s">
        <v>150</v>
      </c>
      <c r="H316" s="94" t="s">
        <v>1606</v>
      </c>
      <c r="I316" s="111">
        <v>16247274</v>
      </c>
      <c r="J316" s="101">
        <v>0</v>
      </c>
      <c r="K316" s="47">
        <v>16247274</v>
      </c>
      <c r="L316" s="77" t="s">
        <v>96</v>
      </c>
      <c r="M316" s="54">
        <v>52825128</v>
      </c>
      <c r="N316" s="30"/>
      <c r="O316" s="2" t="s">
        <v>1607</v>
      </c>
      <c r="P316" s="73" t="s">
        <v>318</v>
      </c>
      <c r="Q316" s="3"/>
      <c r="R316" s="32">
        <f>+Tabla1513[[#This Row],[VALOR INICIAL DEL CONTRATO CON IVA]]+Tabla1513[[#This Row],[VALOR DE LAS ADICIONES CON IVA]]</f>
        <v>16247274</v>
      </c>
      <c r="S316" s="48">
        <f>+Tabla1513[[#This Row],[FECHA TERMINACIÓN INICIAL CONTRATO]]-Tabla1513[[#This Row],[FECHA INICIO CONTRATO]]</f>
        <v>121</v>
      </c>
      <c r="T316" s="24" t="s">
        <v>318</v>
      </c>
      <c r="U316" s="4"/>
      <c r="V316" s="24" t="s">
        <v>318</v>
      </c>
      <c r="W316" s="70">
        <v>45901</v>
      </c>
      <c r="X316" s="70">
        <v>46022</v>
      </c>
      <c r="Y316" s="70">
        <v>46022</v>
      </c>
      <c r="Z316" s="72" t="s">
        <v>319</v>
      </c>
      <c r="AA316" s="60"/>
      <c r="AB316" s="131"/>
      <c r="AC316" s="56" t="s">
        <v>441</v>
      </c>
      <c r="AD316" s="34"/>
      <c r="AE316" s="34"/>
      <c r="AF316" s="35"/>
      <c r="AG316" s="36" t="s">
        <v>1817</v>
      </c>
      <c r="AH316" s="63">
        <v>2025</v>
      </c>
    </row>
    <row r="317" spans="1:34" ht="29" x14ac:dyDescent="0.35">
      <c r="A317" s="55" t="s">
        <v>330</v>
      </c>
      <c r="B317" s="2" t="s">
        <v>11</v>
      </c>
      <c r="C317" s="30" t="s">
        <v>19</v>
      </c>
      <c r="D317" s="2" t="s">
        <v>362</v>
      </c>
      <c r="E317" s="96" t="s">
        <v>1609</v>
      </c>
      <c r="F317" s="70">
        <v>45867</v>
      </c>
      <c r="G317" s="30" t="s">
        <v>113</v>
      </c>
      <c r="H317" s="94" t="s">
        <v>1611</v>
      </c>
      <c r="I317" s="111">
        <v>210786934</v>
      </c>
      <c r="J317" s="101">
        <v>40049517</v>
      </c>
      <c r="K317" s="47">
        <v>250836451</v>
      </c>
      <c r="L317" s="77" t="s">
        <v>84</v>
      </c>
      <c r="M317" s="54">
        <v>830109420</v>
      </c>
      <c r="N317" s="30" t="s">
        <v>91</v>
      </c>
      <c r="O317" s="2" t="s">
        <v>1612</v>
      </c>
      <c r="P317" s="73" t="s">
        <v>318</v>
      </c>
      <c r="Q317" s="3"/>
      <c r="R317" s="32">
        <f>+Tabla1513[[#This Row],[VALOR INICIAL DEL CONTRATO CON IVA]]+Tabla1513[[#This Row],[VALOR DE LAS ADICIONES CON IVA]]</f>
        <v>250836451</v>
      </c>
      <c r="S317" s="48">
        <f>+Tabla1513[[#This Row],[FECHA TERMINACIÓN INICIAL CONTRATO]]-Tabla1513[[#This Row],[FECHA INICIO CONTRATO]]</f>
        <v>513</v>
      </c>
      <c r="T317" s="24" t="s">
        <v>318</v>
      </c>
      <c r="U317" s="4"/>
      <c r="V317" s="24" t="s">
        <v>318</v>
      </c>
      <c r="W317" s="70">
        <v>45874</v>
      </c>
      <c r="X317" s="70">
        <v>46387</v>
      </c>
      <c r="Y317" s="70">
        <v>46387</v>
      </c>
      <c r="Z317" s="72" t="s">
        <v>319</v>
      </c>
      <c r="AA317" s="60"/>
      <c r="AB317" s="131"/>
      <c r="AC317" s="56" t="s">
        <v>1614</v>
      </c>
      <c r="AD317" s="34"/>
      <c r="AE317" s="34"/>
      <c r="AF317" s="35"/>
      <c r="AG317" s="36" t="s">
        <v>1818</v>
      </c>
      <c r="AH317" s="63">
        <v>2025</v>
      </c>
    </row>
    <row r="318" spans="1:34" ht="29" x14ac:dyDescent="0.35">
      <c r="A318" s="55" t="s">
        <v>330</v>
      </c>
      <c r="B318" s="2" t="s">
        <v>473</v>
      </c>
      <c r="C318" s="30" t="s">
        <v>63</v>
      </c>
      <c r="D318" s="2" t="s">
        <v>313</v>
      </c>
      <c r="E318" s="96" t="s">
        <v>1610</v>
      </c>
      <c r="F318" s="70">
        <v>45867</v>
      </c>
      <c r="G318" s="30" t="s">
        <v>150</v>
      </c>
      <c r="H318" s="94" t="s">
        <v>909</v>
      </c>
      <c r="I318" s="111">
        <v>300000000</v>
      </c>
      <c r="J318" s="101">
        <v>57000000</v>
      </c>
      <c r="K318" s="47">
        <v>357000000</v>
      </c>
      <c r="L318" s="77" t="s">
        <v>84</v>
      </c>
      <c r="M318" s="54">
        <v>900986706</v>
      </c>
      <c r="N318" s="30" t="s">
        <v>117</v>
      </c>
      <c r="O318" s="2" t="s">
        <v>1613</v>
      </c>
      <c r="P318" s="73" t="s">
        <v>318</v>
      </c>
      <c r="Q318" s="3"/>
      <c r="R318" s="32">
        <f>+Tabla1513[[#This Row],[VALOR INICIAL DEL CONTRATO CON IVA]]+Tabla1513[[#This Row],[VALOR DE LAS ADICIONES CON IVA]]</f>
        <v>357000000</v>
      </c>
      <c r="S318" s="48">
        <f>+Tabla1513[[#This Row],[FECHA TERMINACIÓN INICIAL CONTRATO]]-Tabla1513[[#This Row],[FECHA INICIO CONTRATO]]</f>
        <v>364</v>
      </c>
      <c r="T318" s="24" t="s">
        <v>318</v>
      </c>
      <c r="U318" s="4"/>
      <c r="V318" s="24" t="s">
        <v>318</v>
      </c>
      <c r="W318" s="70">
        <v>45867</v>
      </c>
      <c r="X318" s="70">
        <v>46231</v>
      </c>
      <c r="Y318" s="70">
        <v>46231</v>
      </c>
      <c r="Z318" s="72" t="s">
        <v>319</v>
      </c>
      <c r="AA318" s="60"/>
      <c r="AB318" s="131"/>
      <c r="AC318" s="56" t="s">
        <v>312</v>
      </c>
      <c r="AD318" s="34"/>
      <c r="AE318" s="34"/>
      <c r="AF318" s="35"/>
      <c r="AG318" s="36" t="s">
        <v>1674</v>
      </c>
      <c r="AH318" s="63">
        <v>2025</v>
      </c>
    </row>
    <row r="319" spans="1:34" ht="29" x14ac:dyDescent="0.35">
      <c r="A319" s="55" t="s">
        <v>330</v>
      </c>
      <c r="B319" s="2" t="s">
        <v>4</v>
      </c>
      <c r="C319" s="30" t="s">
        <v>579</v>
      </c>
      <c r="D319" s="2" t="s">
        <v>313</v>
      </c>
      <c r="E319" s="96" t="s">
        <v>1587</v>
      </c>
      <c r="F319" s="70">
        <v>45868</v>
      </c>
      <c r="G319" s="30" t="s">
        <v>150</v>
      </c>
      <c r="H319" s="94" t="s">
        <v>1588</v>
      </c>
      <c r="I319" s="111">
        <v>30000000</v>
      </c>
      <c r="J319" s="101">
        <v>0</v>
      </c>
      <c r="K319" s="47">
        <v>30000000</v>
      </c>
      <c r="L319" s="77" t="s">
        <v>96</v>
      </c>
      <c r="M319" s="54">
        <v>1003845127</v>
      </c>
      <c r="N319" s="30"/>
      <c r="O319" s="2" t="s">
        <v>1589</v>
      </c>
      <c r="P319" s="73" t="s">
        <v>318</v>
      </c>
      <c r="Q319" s="3"/>
      <c r="R319" s="32">
        <f>+Tabla1513[[#This Row],[VALOR INICIAL DEL CONTRATO CON IVA]]+Tabla1513[[#This Row],[VALOR DE LAS ADICIONES CON IVA]]</f>
        <v>30000000</v>
      </c>
      <c r="S319" s="48">
        <f>+Tabla1513[[#This Row],[FECHA TERMINACIÓN INICIAL CONTRATO]]-Tabla1513[[#This Row],[FECHA INICIO CONTRATO]]</f>
        <v>152</v>
      </c>
      <c r="T319" s="24" t="s">
        <v>318</v>
      </c>
      <c r="U319" s="4"/>
      <c r="V319" s="24" t="s">
        <v>318</v>
      </c>
      <c r="W319" s="70">
        <v>45870</v>
      </c>
      <c r="X319" s="70">
        <v>46022</v>
      </c>
      <c r="Y319" s="70">
        <v>46022</v>
      </c>
      <c r="Z319" s="72" t="s">
        <v>319</v>
      </c>
      <c r="AA319" s="60"/>
      <c r="AB319" s="131"/>
      <c r="AC319" s="56" t="s">
        <v>434</v>
      </c>
      <c r="AD319" s="34"/>
      <c r="AE319" s="34"/>
      <c r="AF319" s="35"/>
      <c r="AG319" s="36" t="s">
        <v>1819</v>
      </c>
      <c r="AH319" s="63">
        <v>2025</v>
      </c>
    </row>
    <row r="320" spans="1:34" ht="43.5" x14ac:dyDescent="0.35">
      <c r="A320" s="55" t="s">
        <v>330</v>
      </c>
      <c r="B320" s="2" t="s">
        <v>11</v>
      </c>
      <c r="C320" s="30" t="s">
        <v>19</v>
      </c>
      <c r="D320" s="2" t="s">
        <v>1617</v>
      </c>
      <c r="E320" s="96">
        <v>145773</v>
      </c>
      <c r="F320" s="70">
        <v>45784</v>
      </c>
      <c r="G320" s="30" t="s">
        <v>113</v>
      </c>
      <c r="H320" s="94" t="s">
        <v>1618</v>
      </c>
      <c r="I320" s="111">
        <v>14000000</v>
      </c>
      <c r="J320" s="101">
        <v>0</v>
      </c>
      <c r="K320" s="47">
        <v>14000000</v>
      </c>
      <c r="L320" s="77" t="s">
        <v>84</v>
      </c>
      <c r="M320" s="54">
        <v>900459737</v>
      </c>
      <c r="N320" s="30" t="s">
        <v>111</v>
      </c>
      <c r="O320" s="2" t="s">
        <v>1619</v>
      </c>
      <c r="P320" s="73" t="s">
        <v>318</v>
      </c>
      <c r="Q320" s="3"/>
      <c r="R320" s="32">
        <f>+Tabla1513[[#This Row],[VALOR INICIAL DEL CONTRATO CON IVA]]+Tabla1513[[#This Row],[VALOR DE LAS ADICIONES CON IVA]]</f>
        <v>14000000</v>
      </c>
      <c r="S320" s="48">
        <f>+Tabla1513[[#This Row],[FECHA TERMINACIÓN INICIAL CONTRATO]]-Tabla1513[[#This Row],[FECHA INICIO CONTRATO]]</f>
        <v>328</v>
      </c>
      <c r="T320" s="24" t="s">
        <v>318</v>
      </c>
      <c r="U320" s="4"/>
      <c r="V320" s="24" t="s">
        <v>318</v>
      </c>
      <c r="W320" s="70">
        <v>45784</v>
      </c>
      <c r="X320" s="70">
        <v>46112</v>
      </c>
      <c r="Y320" s="70">
        <v>46112</v>
      </c>
      <c r="Z320" s="72" t="s">
        <v>319</v>
      </c>
      <c r="AA320" s="60"/>
      <c r="AB320" s="131"/>
      <c r="AC320" s="56" t="s">
        <v>1033</v>
      </c>
      <c r="AD320" s="34"/>
      <c r="AE320" s="34"/>
      <c r="AF320" s="35"/>
      <c r="AG320" s="36" t="s">
        <v>1867</v>
      </c>
      <c r="AH320" s="63">
        <v>2025</v>
      </c>
    </row>
    <row r="321" spans="1:34" ht="29" x14ac:dyDescent="0.35">
      <c r="A321" s="55" t="s">
        <v>330</v>
      </c>
      <c r="B321" s="2" t="s">
        <v>473</v>
      </c>
      <c r="C321" s="30" t="s">
        <v>63</v>
      </c>
      <c r="D321" s="2" t="s">
        <v>313</v>
      </c>
      <c r="E321" s="96" t="s">
        <v>1702</v>
      </c>
      <c r="F321" s="70">
        <v>45868</v>
      </c>
      <c r="G321" s="30" t="s">
        <v>150</v>
      </c>
      <c r="H321" s="94" t="s">
        <v>1703</v>
      </c>
      <c r="I321" s="111">
        <v>100000000</v>
      </c>
      <c r="J321" s="101">
        <v>19000000</v>
      </c>
      <c r="K321" s="47">
        <v>119000000</v>
      </c>
      <c r="L321" s="77" t="s">
        <v>84</v>
      </c>
      <c r="M321" s="54">
        <v>901037553</v>
      </c>
      <c r="N321" s="30" t="s">
        <v>91</v>
      </c>
      <c r="O321" s="2" t="s">
        <v>1704</v>
      </c>
      <c r="P321" s="73" t="s">
        <v>318</v>
      </c>
      <c r="Q321" s="3"/>
      <c r="R321" s="32">
        <f>+Tabla1513[[#This Row],[VALOR INICIAL DEL CONTRATO CON IVA]]+Tabla1513[[#This Row],[VALOR DE LAS ADICIONES CON IVA]]</f>
        <v>119000000</v>
      </c>
      <c r="S321" s="48">
        <f>+Tabla1513[[#This Row],[FECHA TERMINACIÓN INICIAL CONTRATO]]-Tabla1513[[#This Row],[FECHA INICIO CONTRATO]]</f>
        <v>364</v>
      </c>
      <c r="T321" s="24" t="s">
        <v>318</v>
      </c>
      <c r="U321" s="4"/>
      <c r="V321" s="24" t="s">
        <v>318</v>
      </c>
      <c r="W321" s="70">
        <v>45890</v>
      </c>
      <c r="X321" s="70">
        <v>46254</v>
      </c>
      <c r="Y321" s="70">
        <v>46254</v>
      </c>
      <c r="Z321" s="72" t="s">
        <v>319</v>
      </c>
      <c r="AA321" s="60"/>
      <c r="AB321" s="131"/>
      <c r="AC321" s="56" t="s">
        <v>312</v>
      </c>
      <c r="AD321" s="34"/>
      <c r="AE321" s="34"/>
      <c r="AF321" s="35"/>
      <c r="AG321" s="36" t="s">
        <v>1820</v>
      </c>
      <c r="AH321" s="63">
        <v>2025</v>
      </c>
    </row>
    <row r="322" spans="1:34" ht="43.5" x14ac:dyDescent="0.35">
      <c r="A322" s="55" t="s">
        <v>330</v>
      </c>
      <c r="B322" s="2" t="s">
        <v>11</v>
      </c>
      <c r="C322" s="30" t="s">
        <v>19</v>
      </c>
      <c r="D322" s="2" t="s">
        <v>714</v>
      </c>
      <c r="E322" s="96" t="s">
        <v>1615</v>
      </c>
      <c r="F322" s="70">
        <v>45862</v>
      </c>
      <c r="G322" s="30" t="s">
        <v>142</v>
      </c>
      <c r="H322" s="94" t="s">
        <v>1616</v>
      </c>
      <c r="I322" s="111">
        <v>4991400</v>
      </c>
      <c r="J322" s="101">
        <v>64296</v>
      </c>
      <c r="K322" s="47">
        <v>5055696</v>
      </c>
      <c r="L322" s="77" t="s">
        <v>84</v>
      </c>
      <c r="M322" s="54">
        <v>800043857</v>
      </c>
      <c r="N322" s="30" t="s">
        <v>91</v>
      </c>
      <c r="O322" s="2" t="s">
        <v>781</v>
      </c>
      <c r="P322" s="73" t="s">
        <v>318</v>
      </c>
      <c r="Q322" s="3"/>
      <c r="R322" s="32">
        <f>+Tabla1513[[#This Row],[VALOR INICIAL DEL CONTRATO CON IVA]]+Tabla1513[[#This Row],[VALOR DE LAS ADICIONES CON IVA]]</f>
        <v>5055696</v>
      </c>
      <c r="S322" s="48">
        <f>+Tabla1513[[#This Row],[FECHA TERMINACIÓN INICIAL CONTRATO]]-Tabla1513[[#This Row],[FECHA INICIO CONTRATO]]</f>
        <v>6</v>
      </c>
      <c r="T322" s="24" t="s">
        <v>318</v>
      </c>
      <c r="U322" s="4"/>
      <c r="V322" s="24" t="s">
        <v>318</v>
      </c>
      <c r="W322" s="70">
        <v>45862</v>
      </c>
      <c r="X322" s="70">
        <v>45868</v>
      </c>
      <c r="Y322" s="70">
        <v>45868</v>
      </c>
      <c r="Z322" s="72" t="s">
        <v>405</v>
      </c>
      <c r="AA322" s="60"/>
      <c r="AB322" s="60" t="s">
        <v>406</v>
      </c>
      <c r="AC322" s="56" t="s">
        <v>1033</v>
      </c>
      <c r="AD322" s="34"/>
      <c r="AE322" s="34"/>
      <c r="AF322" s="35"/>
      <c r="AG322" s="36" t="s">
        <v>1675</v>
      </c>
      <c r="AH322" s="63">
        <v>2025</v>
      </c>
    </row>
    <row r="323" spans="1:34" ht="29" x14ac:dyDescent="0.35">
      <c r="A323" s="55" t="s">
        <v>330</v>
      </c>
      <c r="B323" s="2" t="s">
        <v>410</v>
      </c>
      <c r="C323" s="30" t="s">
        <v>74</v>
      </c>
      <c r="D323" s="2" t="s">
        <v>313</v>
      </c>
      <c r="E323" s="96" t="s">
        <v>1755</v>
      </c>
      <c r="F323" s="70">
        <v>45880</v>
      </c>
      <c r="G323" s="30" t="s">
        <v>150</v>
      </c>
      <c r="H323" s="94" t="s">
        <v>1756</v>
      </c>
      <c r="I323" s="111">
        <v>15000000</v>
      </c>
      <c r="J323" s="101">
        <v>2850000</v>
      </c>
      <c r="K323" s="47">
        <v>17850000</v>
      </c>
      <c r="L323" s="77" t="s">
        <v>84</v>
      </c>
      <c r="M323" s="54">
        <v>830076669</v>
      </c>
      <c r="N323" s="30" t="s">
        <v>108</v>
      </c>
      <c r="O323" s="2" t="s">
        <v>735</v>
      </c>
      <c r="P323" s="73" t="s">
        <v>318</v>
      </c>
      <c r="Q323" s="3"/>
      <c r="R323" s="32">
        <f>+Tabla1513[[#This Row],[VALOR INICIAL DEL CONTRATO CON IVA]]+Tabla1513[[#This Row],[VALOR DE LAS ADICIONES CON IVA]]</f>
        <v>17850000</v>
      </c>
      <c r="S323" s="48">
        <f>+Tabla1513[[#This Row],[FECHA TERMINACIÓN INICIAL CONTRATO]]-Tabla1513[[#This Row],[FECHA INICIO CONTRATO]]</f>
        <v>106</v>
      </c>
      <c r="T323" s="24" t="s">
        <v>318</v>
      </c>
      <c r="U323" s="4"/>
      <c r="V323" s="24" t="s">
        <v>318</v>
      </c>
      <c r="W323" s="70">
        <v>45916</v>
      </c>
      <c r="X323" s="70">
        <v>46022</v>
      </c>
      <c r="Y323" s="70">
        <v>46022</v>
      </c>
      <c r="Z323" s="72" t="s">
        <v>319</v>
      </c>
      <c r="AA323" s="60"/>
      <c r="AB323" s="60"/>
      <c r="AC323" s="56" t="s">
        <v>1134</v>
      </c>
      <c r="AD323" s="34">
        <v>0.01</v>
      </c>
      <c r="AE323" s="34">
        <v>0</v>
      </c>
      <c r="AF323" s="35">
        <v>0</v>
      </c>
      <c r="AG323" s="36" t="s">
        <v>1821</v>
      </c>
      <c r="AH323" s="63">
        <v>2025</v>
      </c>
    </row>
    <row r="324" spans="1:34" ht="29" x14ac:dyDescent="0.35">
      <c r="A324" s="55" t="s">
        <v>330</v>
      </c>
      <c r="B324" s="2" t="s">
        <v>473</v>
      </c>
      <c r="C324" s="30" t="s">
        <v>63</v>
      </c>
      <c r="D324" s="2" t="s">
        <v>313</v>
      </c>
      <c r="E324" s="96" t="s">
        <v>1705</v>
      </c>
      <c r="F324" s="70">
        <v>45869</v>
      </c>
      <c r="G324" s="30" t="s">
        <v>150</v>
      </c>
      <c r="H324" s="94" t="s">
        <v>909</v>
      </c>
      <c r="I324" s="111">
        <v>150000000</v>
      </c>
      <c r="J324" s="101">
        <v>28500000</v>
      </c>
      <c r="K324" s="47">
        <v>178500000</v>
      </c>
      <c r="L324" s="77" t="s">
        <v>84</v>
      </c>
      <c r="M324" s="54">
        <v>900166357</v>
      </c>
      <c r="N324" s="30" t="s">
        <v>91</v>
      </c>
      <c r="O324" s="2" t="s">
        <v>1706</v>
      </c>
      <c r="P324" s="73" t="s">
        <v>318</v>
      </c>
      <c r="Q324" s="3"/>
      <c r="R324" s="32">
        <f>+Tabla1513[[#This Row],[VALOR INICIAL DEL CONTRATO CON IVA]]+Tabla1513[[#This Row],[VALOR DE LAS ADICIONES CON IVA]]</f>
        <v>178500000</v>
      </c>
      <c r="S324" s="48">
        <f>+Tabla1513[[#This Row],[FECHA TERMINACIÓN INICIAL CONTRATO]]-Tabla1513[[#This Row],[FECHA INICIO CONTRATO]]</f>
        <v>364</v>
      </c>
      <c r="T324" s="24" t="s">
        <v>318</v>
      </c>
      <c r="U324" s="4"/>
      <c r="V324" s="24" t="s">
        <v>318</v>
      </c>
      <c r="W324" s="70">
        <v>45889</v>
      </c>
      <c r="X324" s="70">
        <v>46253</v>
      </c>
      <c r="Y324" s="70">
        <v>46253</v>
      </c>
      <c r="Z324" s="72" t="s">
        <v>319</v>
      </c>
      <c r="AA324" s="60"/>
      <c r="AB324" s="60"/>
      <c r="AC324" s="56" t="s">
        <v>312</v>
      </c>
      <c r="AD324" s="34"/>
      <c r="AE324" s="34"/>
      <c r="AF324" s="35"/>
      <c r="AG324" s="36" t="s">
        <v>1822</v>
      </c>
      <c r="AH324" s="63">
        <v>2025</v>
      </c>
    </row>
    <row r="325" spans="1:34" ht="29" x14ac:dyDescent="0.35">
      <c r="A325" s="55" t="s">
        <v>330</v>
      </c>
      <c r="B325" s="2" t="s">
        <v>473</v>
      </c>
      <c r="C325" s="30" t="s">
        <v>63</v>
      </c>
      <c r="D325" s="2" t="s">
        <v>313</v>
      </c>
      <c r="E325" s="96" t="s">
        <v>1707</v>
      </c>
      <c r="F325" s="70">
        <v>45869</v>
      </c>
      <c r="G325" s="30" t="s">
        <v>150</v>
      </c>
      <c r="H325" s="94" t="s">
        <v>909</v>
      </c>
      <c r="I325" s="111">
        <v>150000000</v>
      </c>
      <c r="J325" s="101">
        <v>28500000</v>
      </c>
      <c r="K325" s="47">
        <v>178500000</v>
      </c>
      <c r="L325" s="77" t="s">
        <v>84</v>
      </c>
      <c r="M325" s="54">
        <v>901697829</v>
      </c>
      <c r="N325" s="30" t="s">
        <v>120</v>
      </c>
      <c r="O325" s="2" t="s">
        <v>1708</v>
      </c>
      <c r="P325" s="73" t="s">
        <v>318</v>
      </c>
      <c r="Q325" s="3"/>
      <c r="R325" s="32">
        <f>+Tabla1513[[#This Row],[VALOR INICIAL DEL CONTRATO CON IVA]]+Tabla1513[[#This Row],[VALOR DE LAS ADICIONES CON IVA]]</f>
        <v>178500000</v>
      </c>
      <c r="S325" s="48">
        <f>+Tabla1513[[#This Row],[FECHA TERMINACIÓN INICIAL CONTRATO]]-Tabla1513[[#This Row],[FECHA INICIO CONTRATO]]</f>
        <v>364</v>
      </c>
      <c r="T325" s="24" t="s">
        <v>318</v>
      </c>
      <c r="U325" s="4"/>
      <c r="V325" s="24" t="s">
        <v>318</v>
      </c>
      <c r="W325" s="70">
        <v>45870</v>
      </c>
      <c r="X325" s="70">
        <v>46234</v>
      </c>
      <c r="Y325" s="70">
        <v>46234</v>
      </c>
      <c r="Z325" s="72" t="s">
        <v>319</v>
      </c>
      <c r="AA325" s="60"/>
      <c r="AB325" s="60"/>
      <c r="AC325" s="56" t="s">
        <v>312</v>
      </c>
      <c r="AD325" s="34"/>
      <c r="AE325" s="34"/>
      <c r="AF325" s="35"/>
      <c r="AG325" s="36" t="s">
        <v>1823</v>
      </c>
      <c r="AH325" s="63">
        <v>2025</v>
      </c>
    </row>
    <row r="326" spans="1:34" ht="29" x14ac:dyDescent="0.35">
      <c r="A326" s="55" t="s">
        <v>330</v>
      </c>
      <c r="B326" s="2" t="s">
        <v>473</v>
      </c>
      <c r="C326" s="30" t="s">
        <v>63</v>
      </c>
      <c r="D326" s="2" t="s">
        <v>313</v>
      </c>
      <c r="E326" s="96" t="s">
        <v>1678</v>
      </c>
      <c r="F326" s="70">
        <v>45869</v>
      </c>
      <c r="G326" s="30" t="s">
        <v>150</v>
      </c>
      <c r="H326" s="94" t="s">
        <v>1685</v>
      </c>
      <c r="I326" s="111">
        <v>35400000</v>
      </c>
      <c r="J326" s="101">
        <v>0</v>
      </c>
      <c r="K326" s="47">
        <v>35400000</v>
      </c>
      <c r="L326" s="77" t="s">
        <v>96</v>
      </c>
      <c r="M326" s="54">
        <v>4978830</v>
      </c>
      <c r="N326" s="30"/>
      <c r="O326" s="2" t="s">
        <v>1686</v>
      </c>
      <c r="P326" s="73" t="s">
        <v>318</v>
      </c>
      <c r="Q326" s="3"/>
      <c r="R326" s="32">
        <f>+Tabla1513[[#This Row],[VALOR INICIAL DEL CONTRATO CON IVA]]+Tabla1513[[#This Row],[VALOR DE LAS ADICIONES CON IVA]]</f>
        <v>35400000</v>
      </c>
      <c r="S326" s="48">
        <f>+Tabla1513[[#This Row],[FECHA TERMINACIÓN INICIAL CONTRATO]]-Tabla1513[[#This Row],[FECHA INICIO CONTRATO]]</f>
        <v>141</v>
      </c>
      <c r="T326" s="24" t="s">
        <v>318</v>
      </c>
      <c r="U326" s="4"/>
      <c r="V326" s="24" t="s">
        <v>318</v>
      </c>
      <c r="W326" s="70">
        <v>45881</v>
      </c>
      <c r="X326" s="70">
        <v>46022</v>
      </c>
      <c r="Y326" s="70">
        <v>46022</v>
      </c>
      <c r="Z326" s="72" t="s">
        <v>319</v>
      </c>
      <c r="AA326" s="60"/>
      <c r="AB326" s="131"/>
      <c r="AC326" s="56" t="s">
        <v>434</v>
      </c>
      <c r="AD326" s="34"/>
      <c r="AE326" s="34"/>
      <c r="AF326" s="35"/>
      <c r="AG326" s="36" t="s">
        <v>1824</v>
      </c>
      <c r="AH326" s="63">
        <v>2025</v>
      </c>
    </row>
    <row r="327" spans="1:34" ht="43.5" x14ac:dyDescent="0.35">
      <c r="A327" s="55" t="s">
        <v>330</v>
      </c>
      <c r="B327" s="2" t="s">
        <v>11</v>
      </c>
      <c r="C327" s="30" t="s">
        <v>20</v>
      </c>
      <c r="D327" s="2" t="s">
        <v>313</v>
      </c>
      <c r="E327" s="96" t="s">
        <v>1709</v>
      </c>
      <c r="F327" s="70">
        <v>45874</v>
      </c>
      <c r="G327" s="30" t="s">
        <v>150</v>
      </c>
      <c r="H327" s="94" t="s">
        <v>1710</v>
      </c>
      <c r="I327" s="111">
        <v>346000000</v>
      </c>
      <c r="J327" s="101">
        <v>0</v>
      </c>
      <c r="K327" s="47">
        <v>346000000</v>
      </c>
      <c r="L327" s="77" t="s">
        <v>84</v>
      </c>
      <c r="M327" s="54">
        <v>860078643</v>
      </c>
      <c r="N327" s="30" t="s">
        <v>91</v>
      </c>
      <c r="O327" s="2" t="s">
        <v>725</v>
      </c>
      <c r="P327" s="73" t="s">
        <v>318</v>
      </c>
      <c r="Q327" s="3"/>
      <c r="R327" s="32">
        <f>+Tabla1513[[#This Row],[VALOR INICIAL DEL CONTRATO CON IVA]]+Tabla1513[[#This Row],[VALOR DE LAS ADICIONES CON IVA]]</f>
        <v>346000000</v>
      </c>
      <c r="S327" s="48">
        <f>+Tabla1513[[#This Row],[FECHA TERMINACIÓN INICIAL CONTRATO]]-Tabla1513[[#This Row],[FECHA INICIO CONTRATO]]</f>
        <v>855</v>
      </c>
      <c r="T327" s="24" t="s">
        <v>318</v>
      </c>
      <c r="U327" s="4"/>
      <c r="V327" s="24" t="s">
        <v>318</v>
      </c>
      <c r="W327" s="70">
        <v>45897</v>
      </c>
      <c r="X327" s="70">
        <v>46752</v>
      </c>
      <c r="Y327" s="70">
        <v>46752</v>
      </c>
      <c r="Z327" s="72" t="s">
        <v>319</v>
      </c>
      <c r="AA327" s="60"/>
      <c r="AB327" s="131"/>
      <c r="AC327" s="56" t="s">
        <v>1139</v>
      </c>
      <c r="AD327" s="34"/>
      <c r="AE327" s="34"/>
      <c r="AF327" s="35"/>
      <c r="AG327" s="36" t="s">
        <v>1847</v>
      </c>
      <c r="AH327" s="63">
        <v>2025</v>
      </c>
    </row>
    <row r="328" spans="1:34" ht="43.5" x14ac:dyDescent="0.35">
      <c r="A328" s="55" t="s">
        <v>330</v>
      </c>
      <c r="B328" s="2" t="s">
        <v>473</v>
      </c>
      <c r="C328" s="30" t="s">
        <v>63</v>
      </c>
      <c r="D328" s="2" t="s">
        <v>313</v>
      </c>
      <c r="E328" s="96" t="s">
        <v>1711</v>
      </c>
      <c r="F328" s="70">
        <v>45874</v>
      </c>
      <c r="G328" s="30" t="s">
        <v>150</v>
      </c>
      <c r="H328" s="94" t="s">
        <v>909</v>
      </c>
      <c r="I328" s="111">
        <v>150000000</v>
      </c>
      <c r="J328" s="101">
        <v>28500000</v>
      </c>
      <c r="K328" s="47">
        <v>178500000</v>
      </c>
      <c r="L328" s="77" t="s">
        <v>84</v>
      </c>
      <c r="M328" s="54">
        <v>901224897</v>
      </c>
      <c r="N328" s="30" t="s">
        <v>91</v>
      </c>
      <c r="O328" s="2" t="s">
        <v>1712</v>
      </c>
      <c r="P328" s="73" t="s">
        <v>318</v>
      </c>
      <c r="Q328" s="3"/>
      <c r="R328" s="32">
        <f>+Tabla1513[[#This Row],[VALOR INICIAL DEL CONTRATO CON IVA]]+Tabla1513[[#This Row],[VALOR DE LAS ADICIONES CON IVA]]</f>
        <v>178500000</v>
      </c>
      <c r="S328" s="48">
        <f>+Tabla1513[[#This Row],[FECHA TERMINACIÓN INICIAL CONTRATO]]-Tabla1513[[#This Row],[FECHA INICIO CONTRATO]]</f>
        <v>364</v>
      </c>
      <c r="T328" s="24" t="s">
        <v>318</v>
      </c>
      <c r="U328" s="4"/>
      <c r="V328" s="24" t="s">
        <v>318</v>
      </c>
      <c r="W328" s="70">
        <v>45883</v>
      </c>
      <c r="X328" s="70">
        <v>46247</v>
      </c>
      <c r="Y328" s="70">
        <v>46247</v>
      </c>
      <c r="Z328" s="72" t="s">
        <v>319</v>
      </c>
      <c r="AA328" s="60"/>
      <c r="AB328" s="131"/>
      <c r="AC328" s="56" t="s">
        <v>312</v>
      </c>
      <c r="AD328" s="34"/>
      <c r="AE328" s="34"/>
      <c r="AF328" s="35"/>
      <c r="AG328" s="36" t="s">
        <v>1825</v>
      </c>
      <c r="AH328" s="63">
        <v>2025</v>
      </c>
    </row>
    <row r="329" spans="1:34" ht="43.5" x14ac:dyDescent="0.35">
      <c r="A329" s="55" t="s">
        <v>330</v>
      </c>
      <c r="B329" s="2" t="s">
        <v>440</v>
      </c>
      <c r="C329" s="30" t="s">
        <v>818</v>
      </c>
      <c r="D329" s="2" t="s">
        <v>313</v>
      </c>
      <c r="E329" s="96" t="s">
        <v>1681</v>
      </c>
      <c r="F329" s="70">
        <v>45874</v>
      </c>
      <c r="G329" s="30" t="s">
        <v>150</v>
      </c>
      <c r="H329" s="94" t="s">
        <v>1689</v>
      </c>
      <c r="I329" s="111">
        <v>32897370</v>
      </c>
      <c r="J329" s="101">
        <v>0</v>
      </c>
      <c r="K329" s="47">
        <v>32897370</v>
      </c>
      <c r="L329" s="77" t="s">
        <v>96</v>
      </c>
      <c r="M329" s="54">
        <v>1018511716</v>
      </c>
      <c r="N329" s="30"/>
      <c r="O329" s="2" t="s">
        <v>1691</v>
      </c>
      <c r="P329" s="73" t="s">
        <v>318</v>
      </c>
      <c r="Q329" s="3"/>
      <c r="R329" s="32">
        <f>+Tabla1513[[#This Row],[VALOR INICIAL DEL CONTRATO CON IVA]]+Tabla1513[[#This Row],[VALOR DE LAS ADICIONES CON IVA]]</f>
        <v>32897370</v>
      </c>
      <c r="S329" s="48">
        <f>+Tabla1513[[#This Row],[FECHA TERMINACIÓN INICIAL CONTRATO]]-Tabla1513[[#This Row],[FECHA INICIO CONTRATO]]</f>
        <v>121</v>
      </c>
      <c r="T329" s="24" t="s">
        <v>318</v>
      </c>
      <c r="U329" s="4"/>
      <c r="V329" s="24" t="s">
        <v>318</v>
      </c>
      <c r="W329" s="70">
        <v>45901</v>
      </c>
      <c r="X329" s="70">
        <v>46022</v>
      </c>
      <c r="Y329" s="70">
        <v>46022</v>
      </c>
      <c r="Z329" s="72" t="s">
        <v>319</v>
      </c>
      <c r="AA329" s="60"/>
      <c r="AB329" s="131"/>
      <c r="AC329" s="56" t="s">
        <v>441</v>
      </c>
      <c r="AD329" s="34"/>
      <c r="AE329" s="34"/>
      <c r="AF329" s="35"/>
      <c r="AG329" s="36" t="s">
        <v>1848</v>
      </c>
      <c r="AH329" s="63">
        <v>2025</v>
      </c>
    </row>
    <row r="330" spans="1:34" ht="43.5" x14ac:dyDescent="0.35">
      <c r="A330" s="55" t="s">
        <v>330</v>
      </c>
      <c r="B330" s="2" t="s">
        <v>440</v>
      </c>
      <c r="C330" s="30" t="s">
        <v>818</v>
      </c>
      <c r="D330" s="2" t="s">
        <v>313</v>
      </c>
      <c r="E330" s="96" t="s">
        <v>1696</v>
      </c>
      <c r="F330" s="70">
        <v>45875</v>
      </c>
      <c r="G330" s="30" t="s">
        <v>150</v>
      </c>
      <c r="H330" s="94" t="s">
        <v>1697</v>
      </c>
      <c r="I330" s="111">
        <v>32897370</v>
      </c>
      <c r="J330" s="101">
        <v>0</v>
      </c>
      <c r="K330" s="47">
        <v>32897370</v>
      </c>
      <c r="L330" s="77" t="s">
        <v>96</v>
      </c>
      <c r="M330" s="54">
        <v>55248026</v>
      </c>
      <c r="N330" s="30"/>
      <c r="O330" s="2" t="s">
        <v>1698</v>
      </c>
      <c r="P330" s="73" t="s">
        <v>318</v>
      </c>
      <c r="Q330" s="3"/>
      <c r="R330" s="32">
        <f>+Tabla1513[[#This Row],[VALOR INICIAL DEL CONTRATO CON IVA]]+Tabla1513[[#This Row],[VALOR DE LAS ADICIONES CON IVA]]</f>
        <v>32897370</v>
      </c>
      <c r="S330" s="48">
        <f>+Tabla1513[[#This Row],[FECHA TERMINACIÓN INICIAL CONTRATO]]-Tabla1513[[#This Row],[FECHA INICIO CONTRATO]]</f>
        <v>121</v>
      </c>
      <c r="T330" s="24" t="s">
        <v>318</v>
      </c>
      <c r="U330" s="4"/>
      <c r="V330" s="24" t="s">
        <v>318</v>
      </c>
      <c r="W330" s="70">
        <v>45901</v>
      </c>
      <c r="X330" s="70">
        <v>46022</v>
      </c>
      <c r="Y330" s="70">
        <v>46022</v>
      </c>
      <c r="Z330" s="72" t="s">
        <v>319</v>
      </c>
      <c r="AA330" s="60"/>
      <c r="AB330" s="131"/>
      <c r="AC330" s="56" t="s">
        <v>441</v>
      </c>
      <c r="AD330" s="34"/>
      <c r="AE330" s="34"/>
      <c r="AF330" s="35"/>
      <c r="AG330" s="36" t="s">
        <v>1826</v>
      </c>
      <c r="AH330" s="63">
        <v>2025</v>
      </c>
    </row>
    <row r="331" spans="1:34" ht="29" x14ac:dyDescent="0.35">
      <c r="A331" s="55" t="s">
        <v>330</v>
      </c>
      <c r="B331" s="2" t="s">
        <v>4</v>
      </c>
      <c r="C331" s="30" t="s">
        <v>579</v>
      </c>
      <c r="D331" s="2" t="s">
        <v>313</v>
      </c>
      <c r="E331" s="96" t="s">
        <v>1679</v>
      </c>
      <c r="F331" s="70">
        <v>45875</v>
      </c>
      <c r="G331" s="30" t="s">
        <v>150</v>
      </c>
      <c r="H331" s="94" t="s">
        <v>1687</v>
      </c>
      <c r="I331" s="111">
        <v>30000000</v>
      </c>
      <c r="J331" s="101">
        <v>0</v>
      </c>
      <c r="K331" s="47">
        <v>30000000</v>
      </c>
      <c r="L331" s="77" t="s">
        <v>96</v>
      </c>
      <c r="M331" s="54">
        <v>1023020472</v>
      </c>
      <c r="N331" s="30"/>
      <c r="O331" s="2" t="s">
        <v>1688</v>
      </c>
      <c r="P331" s="73" t="s">
        <v>318</v>
      </c>
      <c r="Q331" s="3"/>
      <c r="R331" s="32">
        <f>+Tabla1513[[#This Row],[VALOR INICIAL DEL CONTRATO CON IVA]]+Tabla1513[[#This Row],[VALOR DE LAS ADICIONES CON IVA]]</f>
        <v>30000000</v>
      </c>
      <c r="S331" s="48">
        <f>+Tabla1513[[#This Row],[FECHA TERMINACIÓN INICIAL CONTRATO]]-Tabla1513[[#This Row],[FECHA INICIO CONTRATO]]</f>
        <v>145</v>
      </c>
      <c r="T331" s="24" t="s">
        <v>318</v>
      </c>
      <c r="U331" s="4"/>
      <c r="V331" s="24" t="s">
        <v>318</v>
      </c>
      <c r="W331" s="70">
        <v>45877</v>
      </c>
      <c r="X331" s="70">
        <v>46022</v>
      </c>
      <c r="Y331" s="70">
        <v>46022</v>
      </c>
      <c r="Z331" s="72" t="s">
        <v>319</v>
      </c>
      <c r="AA331" s="60"/>
      <c r="AB331" s="131"/>
      <c r="AC331" s="56" t="s">
        <v>434</v>
      </c>
      <c r="AD331" s="34"/>
      <c r="AE331" s="34"/>
      <c r="AF331" s="35"/>
      <c r="AG331" s="36" t="s">
        <v>1849</v>
      </c>
      <c r="AH331" s="63">
        <v>2025</v>
      </c>
    </row>
    <row r="332" spans="1:34" ht="29" x14ac:dyDescent="0.35">
      <c r="A332" s="55" t="s">
        <v>330</v>
      </c>
      <c r="B332" s="2" t="s">
        <v>4</v>
      </c>
      <c r="C332" s="30" t="s">
        <v>7</v>
      </c>
      <c r="D332" s="2" t="s">
        <v>313</v>
      </c>
      <c r="E332" s="96" t="s">
        <v>1713</v>
      </c>
      <c r="F332" s="70">
        <v>45875</v>
      </c>
      <c r="G332" s="30" t="s">
        <v>150</v>
      </c>
      <c r="H332" s="94" t="s">
        <v>1799</v>
      </c>
      <c r="I332" s="111">
        <v>10000000</v>
      </c>
      <c r="J332" s="101">
        <v>1900000</v>
      </c>
      <c r="K332" s="47">
        <v>11900000</v>
      </c>
      <c r="L332" s="77" t="s">
        <v>84</v>
      </c>
      <c r="M332" s="54">
        <v>860036884</v>
      </c>
      <c r="N332" s="30" t="s">
        <v>91</v>
      </c>
      <c r="O332" s="2" t="s">
        <v>1715</v>
      </c>
      <c r="P332" s="73" t="s">
        <v>318</v>
      </c>
      <c r="Q332" s="3"/>
      <c r="R332" s="32">
        <f>+Tabla1513[[#This Row],[VALOR INICIAL DEL CONTRATO CON IVA]]+Tabla1513[[#This Row],[VALOR DE LAS ADICIONES CON IVA]]</f>
        <v>11900000</v>
      </c>
      <c r="S332" s="48">
        <f>+Tabla1513[[#This Row],[FECHA TERMINACIÓN INICIAL CONTRATO]]-Tabla1513[[#This Row],[FECHA INICIO CONTRATO]]</f>
        <v>60</v>
      </c>
      <c r="T332" s="24" t="s">
        <v>318</v>
      </c>
      <c r="U332" s="4"/>
      <c r="V332" s="24" t="s">
        <v>318</v>
      </c>
      <c r="W332" s="70">
        <v>45875</v>
      </c>
      <c r="X332" s="70">
        <v>45935</v>
      </c>
      <c r="Y332" s="70">
        <v>45935</v>
      </c>
      <c r="Z332" s="72" t="s">
        <v>405</v>
      </c>
      <c r="AA332" s="60"/>
      <c r="AB332" s="56" t="s">
        <v>406</v>
      </c>
      <c r="AC332" s="56" t="s">
        <v>434</v>
      </c>
      <c r="AD332" s="34"/>
      <c r="AE332" s="34"/>
      <c r="AF332" s="35"/>
      <c r="AG332" s="36" t="s">
        <v>1827</v>
      </c>
      <c r="AH332" s="63">
        <v>2025</v>
      </c>
    </row>
    <row r="333" spans="1:34" ht="29" x14ac:dyDescent="0.35">
      <c r="A333" s="55" t="s">
        <v>330</v>
      </c>
      <c r="B333" s="2" t="s">
        <v>473</v>
      </c>
      <c r="C333" s="30" t="s">
        <v>63</v>
      </c>
      <c r="D333" s="2" t="s">
        <v>313</v>
      </c>
      <c r="E333" s="96" t="s">
        <v>1714</v>
      </c>
      <c r="F333" s="70">
        <v>45882</v>
      </c>
      <c r="G333" s="30" t="s">
        <v>150</v>
      </c>
      <c r="H333" s="94" t="s">
        <v>1716</v>
      </c>
      <c r="I333" s="111">
        <v>100000000</v>
      </c>
      <c r="J333" s="101">
        <v>19000000</v>
      </c>
      <c r="K333" s="47">
        <v>119000000</v>
      </c>
      <c r="L333" s="77" t="s">
        <v>84</v>
      </c>
      <c r="M333" s="54">
        <v>900491133</v>
      </c>
      <c r="N333" s="30" t="s">
        <v>91</v>
      </c>
      <c r="O333" s="2" t="s">
        <v>1717</v>
      </c>
      <c r="P333" s="73" t="s">
        <v>318</v>
      </c>
      <c r="Q333" s="3"/>
      <c r="R333" s="32">
        <f>+Tabla1513[[#This Row],[VALOR INICIAL DEL CONTRATO CON IVA]]+Tabla1513[[#This Row],[VALOR DE LAS ADICIONES CON IVA]]</f>
        <v>119000000</v>
      </c>
      <c r="S333" s="48">
        <f>+Tabla1513[[#This Row],[FECHA TERMINACIÓN INICIAL CONTRATO]]-Tabla1513[[#This Row],[FECHA INICIO CONTRATO]]</f>
        <v>364</v>
      </c>
      <c r="T333" s="24" t="s">
        <v>318</v>
      </c>
      <c r="U333" s="4"/>
      <c r="V333" s="24" t="s">
        <v>318</v>
      </c>
      <c r="W333" s="70">
        <v>45898</v>
      </c>
      <c r="X333" s="70">
        <v>46262</v>
      </c>
      <c r="Y333" s="70">
        <v>46262</v>
      </c>
      <c r="Z333" s="72" t="s">
        <v>319</v>
      </c>
      <c r="AA333" s="60"/>
      <c r="AB333" s="131"/>
      <c r="AC333" s="56" t="s">
        <v>312</v>
      </c>
      <c r="AD333" s="34"/>
      <c r="AE333" s="34"/>
      <c r="AF333" s="35"/>
      <c r="AG333" s="36" t="s">
        <v>1828</v>
      </c>
      <c r="AH333" s="63">
        <v>2025</v>
      </c>
    </row>
    <row r="334" spans="1:34" ht="43.5" x14ac:dyDescent="0.35">
      <c r="A334" s="55" t="s">
        <v>330</v>
      </c>
      <c r="B334" s="2" t="s">
        <v>440</v>
      </c>
      <c r="C334" s="30" t="s">
        <v>818</v>
      </c>
      <c r="D334" s="2" t="s">
        <v>313</v>
      </c>
      <c r="E334" s="96" t="s">
        <v>1757</v>
      </c>
      <c r="F334" s="70">
        <v>45882</v>
      </c>
      <c r="G334" s="30" t="s">
        <v>150</v>
      </c>
      <c r="H334" s="94" t="s">
        <v>1758</v>
      </c>
      <c r="I334" s="111">
        <v>16247274</v>
      </c>
      <c r="J334" s="101">
        <v>0</v>
      </c>
      <c r="K334" s="47">
        <v>16247274</v>
      </c>
      <c r="L334" s="77" t="s">
        <v>96</v>
      </c>
      <c r="M334" s="54">
        <v>1001060256</v>
      </c>
      <c r="N334" s="30"/>
      <c r="O334" s="2" t="s">
        <v>1759</v>
      </c>
      <c r="P334" s="73" t="s">
        <v>318</v>
      </c>
      <c r="Q334" s="3"/>
      <c r="R334" s="32">
        <f>+Tabla1513[[#This Row],[VALOR INICIAL DEL CONTRATO CON IVA]]+Tabla1513[[#This Row],[VALOR DE LAS ADICIONES CON IVA]]</f>
        <v>16247274</v>
      </c>
      <c r="S334" s="48">
        <f>+Tabla1513[[#This Row],[FECHA TERMINACIÓN INICIAL CONTRATO]]-Tabla1513[[#This Row],[FECHA INICIO CONTRATO]]</f>
        <v>15</v>
      </c>
      <c r="T334" s="24" t="s">
        <v>318</v>
      </c>
      <c r="U334" s="4"/>
      <c r="V334" s="24" t="s">
        <v>318</v>
      </c>
      <c r="W334" s="70">
        <v>45882</v>
      </c>
      <c r="X334" s="70">
        <v>45897</v>
      </c>
      <c r="Y334" s="70">
        <v>45897</v>
      </c>
      <c r="Z334" s="72" t="s">
        <v>411</v>
      </c>
      <c r="AA334" s="60">
        <v>45897</v>
      </c>
      <c r="AB334" s="56" t="s">
        <v>713</v>
      </c>
      <c r="AC334" s="56" t="s">
        <v>441</v>
      </c>
      <c r="AD334" s="34">
        <v>0</v>
      </c>
      <c r="AE334" s="34">
        <v>0</v>
      </c>
      <c r="AF334" s="35">
        <v>0</v>
      </c>
      <c r="AG334" s="36" t="s">
        <v>1850</v>
      </c>
      <c r="AH334" s="63">
        <v>2025</v>
      </c>
    </row>
    <row r="335" spans="1:34" ht="29" x14ac:dyDescent="0.35">
      <c r="A335" s="55" t="s">
        <v>330</v>
      </c>
      <c r="B335" s="2" t="s">
        <v>473</v>
      </c>
      <c r="C335" s="30" t="s">
        <v>63</v>
      </c>
      <c r="D335" s="2" t="s">
        <v>313</v>
      </c>
      <c r="E335" s="96" t="s">
        <v>1718</v>
      </c>
      <c r="F335" s="70">
        <v>45882</v>
      </c>
      <c r="G335" s="30" t="s">
        <v>150</v>
      </c>
      <c r="H335" s="94" t="s">
        <v>1719</v>
      </c>
      <c r="I335" s="111">
        <v>400000000</v>
      </c>
      <c r="J335" s="101">
        <v>76000000</v>
      </c>
      <c r="K335" s="47">
        <v>476000000</v>
      </c>
      <c r="L335" s="77" t="s">
        <v>84</v>
      </c>
      <c r="M335" s="54">
        <v>900991968</v>
      </c>
      <c r="N335" s="30" t="s">
        <v>91</v>
      </c>
      <c r="O335" s="2" t="s">
        <v>807</v>
      </c>
      <c r="P335" s="73" t="s">
        <v>318</v>
      </c>
      <c r="Q335" s="3"/>
      <c r="R335" s="32">
        <f>+Tabla1513[[#This Row],[VALOR INICIAL DEL CONTRATO CON IVA]]+Tabla1513[[#This Row],[VALOR DE LAS ADICIONES CON IVA]]</f>
        <v>476000000</v>
      </c>
      <c r="S335" s="48">
        <f>+Tabla1513[[#This Row],[FECHA TERMINACIÓN INICIAL CONTRATO]]-Tabla1513[[#This Row],[FECHA INICIO CONTRATO]]</f>
        <v>364</v>
      </c>
      <c r="T335" s="24" t="s">
        <v>318</v>
      </c>
      <c r="U335" s="4"/>
      <c r="V335" s="24" t="s">
        <v>318</v>
      </c>
      <c r="W335" s="70">
        <v>45882</v>
      </c>
      <c r="X335" s="70">
        <v>46246</v>
      </c>
      <c r="Y335" s="70">
        <v>46246</v>
      </c>
      <c r="Z335" s="72" t="s">
        <v>319</v>
      </c>
      <c r="AA335" s="60"/>
      <c r="AB335" s="131"/>
      <c r="AC335" s="56" t="s">
        <v>312</v>
      </c>
      <c r="AD335" s="34"/>
      <c r="AE335" s="34"/>
      <c r="AF335" s="35"/>
      <c r="AG335" s="36" t="s">
        <v>1829</v>
      </c>
      <c r="AH335" s="63">
        <v>2025</v>
      </c>
    </row>
    <row r="336" spans="1:34" ht="43.5" x14ac:dyDescent="0.35">
      <c r="A336" s="55" t="s">
        <v>330</v>
      </c>
      <c r="B336" s="2" t="s">
        <v>440</v>
      </c>
      <c r="C336" s="30" t="s">
        <v>818</v>
      </c>
      <c r="D336" s="2" t="s">
        <v>313</v>
      </c>
      <c r="E336" s="96" t="s">
        <v>1683</v>
      </c>
      <c r="F336" s="70">
        <v>45882</v>
      </c>
      <c r="G336" s="30" t="s">
        <v>150</v>
      </c>
      <c r="H336" s="94" t="s">
        <v>1689</v>
      </c>
      <c r="I336" s="111">
        <v>32897370</v>
      </c>
      <c r="J336" s="101">
        <v>0</v>
      </c>
      <c r="K336" s="47">
        <v>32897370</v>
      </c>
      <c r="L336" s="77" t="s">
        <v>96</v>
      </c>
      <c r="M336" s="54">
        <v>1004738493</v>
      </c>
      <c r="N336" s="30"/>
      <c r="O336" s="2" t="s">
        <v>1693</v>
      </c>
      <c r="P336" s="73" t="s">
        <v>318</v>
      </c>
      <c r="Q336" s="3"/>
      <c r="R336" s="32">
        <f>+Tabla1513[[#This Row],[VALOR INICIAL DEL CONTRATO CON IVA]]+Tabla1513[[#This Row],[VALOR DE LAS ADICIONES CON IVA]]</f>
        <v>32897370</v>
      </c>
      <c r="S336" s="48">
        <f>+Tabla1513[[#This Row],[FECHA TERMINACIÓN INICIAL CONTRATO]]-Tabla1513[[#This Row],[FECHA INICIO CONTRATO]]</f>
        <v>21</v>
      </c>
      <c r="T336" s="24" t="s">
        <v>318</v>
      </c>
      <c r="U336" s="4"/>
      <c r="V336" s="24" t="s">
        <v>318</v>
      </c>
      <c r="W336" s="70">
        <v>45901</v>
      </c>
      <c r="X336" s="70">
        <v>45922</v>
      </c>
      <c r="Y336" s="70">
        <v>45922</v>
      </c>
      <c r="Z336" s="72" t="s">
        <v>411</v>
      </c>
      <c r="AA336" s="60">
        <v>45940</v>
      </c>
      <c r="AB336" s="131" t="s">
        <v>713</v>
      </c>
      <c r="AC336" s="56" t="s">
        <v>441</v>
      </c>
      <c r="AD336" s="34">
        <v>0.12</v>
      </c>
      <c r="AE336" s="89">
        <v>0.12</v>
      </c>
      <c r="AF336" s="35">
        <v>4020790</v>
      </c>
      <c r="AG336" s="36" t="s">
        <v>1830</v>
      </c>
      <c r="AH336" s="63">
        <v>2025</v>
      </c>
    </row>
    <row r="337" spans="1:34" ht="43.5" x14ac:dyDescent="0.35">
      <c r="A337" s="55" t="s">
        <v>330</v>
      </c>
      <c r="B337" s="2" t="s">
        <v>440</v>
      </c>
      <c r="C337" s="30" t="s">
        <v>818</v>
      </c>
      <c r="D337" s="2" t="s">
        <v>313</v>
      </c>
      <c r="E337" s="96" t="s">
        <v>1682</v>
      </c>
      <c r="F337" s="70">
        <v>45883</v>
      </c>
      <c r="G337" s="30" t="s">
        <v>150</v>
      </c>
      <c r="H337" s="94" t="s">
        <v>1689</v>
      </c>
      <c r="I337" s="111">
        <v>32897370</v>
      </c>
      <c r="J337" s="101">
        <v>0</v>
      </c>
      <c r="K337" s="47">
        <v>32897370</v>
      </c>
      <c r="L337" s="77" t="s">
        <v>96</v>
      </c>
      <c r="M337" s="54">
        <v>52768323</v>
      </c>
      <c r="N337" s="30"/>
      <c r="O337" s="2" t="s">
        <v>1692</v>
      </c>
      <c r="P337" s="73" t="s">
        <v>318</v>
      </c>
      <c r="Q337" s="3"/>
      <c r="R337" s="32">
        <f>+Tabla1513[[#This Row],[VALOR INICIAL DEL CONTRATO CON IVA]]+Tabla1513[[#This Row],[VALOR DE LAS ADICIONES CON IVA]]</f>
        <v>32897370</v>
      </c>
      <c r="S337" s="48">
        <f>+Tabla1513[[#This Row],[FECHA TERMINACIÓN INICIAL CONTRATO]]-Tabla1513[[#This Row],[FECHA INICIO CONTRATO]]</f>
        <v>121</v>
      </c>
      <c r="T337" s="24" t="s">
        <v>318</v>
      </c>
      <c r="U337" s="4"/>
      <c r="V337" s="24" t="s">
        <v>318</v>
      </c>
      <c r="W337" s="70">
        <v>45901</v>
      </c>
      <c r="X337" s="70">
        <v>46022</v>
      </c>
      <c r="Y337" s="70">
        <v>46022</v>
      </c>
      <c r="Z337" s="72" t="s">
        <v>319</v>
      </c>
      <c r="AA337" s="60"/>
      <c r="AB337" s="131"/>
      <c r="AC337" s="56" t="s">
        <v>441</v>
      </c>
      <c r="AD337" s="34"/>
      <c r="AE337" s="34"/>
      <c r="AF337" s="35"/>
      <c r="AG337" s="36" t="s">
        <v>1831</v>
      </c>
      <c r="AH337" s="63">
        <v>2025</v>
      </c>
    </row>
    <row r="338" spans="1:34" ht="43.5" x14ac:dyDescent="0.35">
      <c r="A338" s="55" t="s">
        <v>330</v>
      </c>
      <c r="B338" s="2" t="s">
        <v>440</v>
      </c>
      <c r="C338" s="30" t="s">
        <v>818</v>
      </c>
      <c r="D338" s="2" t="s">
        <v>313</v>
      </c>
      <c r="E338" s="96" t="s">
        <v>1680</v>
      </c>
      <c r="F338" s="70">
        <v>45883</v>
      </c>
      <c r="G338" s="30" t="s">
        <v>150</v>
      </c>
      <c r="H338" s="94" t="s">
        <v>1689</v>
      </c>
      <c r="I338" s="111">
        <v>32897370</v>
      </c>
      <c r="J338" s="101">
        <v>0</v>
      </c>
      <c r="K338" s="47">
        <v>32897370</v>
      </c>
      <c r="L338" s="77" t="s">
        <v>96</v>
      </c>
      <c r="M338" s="54">
        <v>72001461</v>
      </c>
      <c r="N338" s="30"/>
      <c r="O338" s="2" t="s">
        <v>1690</v>
      </c>
      <c r="P338" s="73" t="s">
        <v>318</v>
      </c>
      <c r="Q338" s="3"/>
      <c r="R338" s="32">
        <f>+Tabla1513[[#This Row],[VALOR INICIAL DEL CONTRATO CON IVA]]+Tabla1513[[#This Row],[VALOR DE LAS ADICIONES CON IVA]]</f>
        <v>32897370</v>
      </c>
      <c r="S338" s="48">
        <f>+Tabla1513[[#This Row],[FECHA TERMINACIÓN INICIAL CONTRATO]]-Tabla1513[[#This Row],[FECHA INICIO CONTRATO]]</f>
        <v>121</v>
      </c>
      <c r="T338" s="24" t="s">
        <v>318</v>
      </c>
      <c r="U338" s="4"/>
      <c r="V338" s="24" t="s">
        <v>318</v>
      </c>
      <c r="W338" s="70">
        <v>45901</v>
      </c>
      <c r="X338" s="70">
        <v>46022</v>
      </c>
      <c r="Y338" s="70">
        <v>46022</v>
      </c>
      <c r="Z338" s="72" t="s">
        <v>319</v>
      </c>
      <c r="AA338" s="60"/>
      <c r="AB338" s="131"/>
      <c r="AC338" s="56" t="s">
        <v>441</v>
      </c>
      <c r="AD338" s="34"/>
      <c r="AE338" s="34"/>
      <c r="AF338" s="35"/>
      <c r="AG338" s="36" t="s">
        <v>1832</v>
      </c>
      <c r="AH338" s="63">
        <v>2025</v>
      </c>
    </row>
    <row r="339" spans="1:34" ht="29" x14ac:dyDescent="0.35">
      <c r="A339" s="55" t="s">
        <v>330</v>
      </c>
      <c r="B339" s="2" t="s">
        <v>31</v>
      </c>
      <c r="C339" s="30" t="s">
        <v>484</v>
      </c>
      <c r="D339" s="2" t="s">
        <v>313</v>
      </c>
      <c r="E339" s="96" t="s">
        <v>1720</v>
      </c>
      <c r="F339" s="70">
        <v>45884</v>
      </c>
      <c r="G339" s="30" t="s">
        <v>150</v>
      </c>
      <c r="H339" s="94" t="s">
        <v>1721</v>
      </c>
      <c r="I339" s="111">
        <v>55624000</v>
      </c>
      <c r="J339" s="101">
        <v>41800</v>
      </c>
      <c r="K339" s="47">
        <v>55665800</v>
      </c>
      <c r="L339" s="77" t="s">
        <v>84</v>
      </c>
      <c r="M339" s="54">
        <v>900821624</v>
      </c>
      <c r="N339" s="30" t="s">
        <v>103</v>
      </c>
      <c r="O339" s="2" t="s">
        <v>947</v>
      </c>
      <c r="P339" s="73" t="s">
        <v>318</v>
      </c>
      <c r="Q339" s="3"/>
      <c r="R339" s="32">
        <f>+Tabla1513[[#This Row],[VALOR INICIAL DEL CONTRATO CON IVA]]+Tabla1513[[#This Row],[VALOR DE LAS ADICIONES CON IVA]]</f>
        <v>55665800</v>
      </c>
      <c r="S339" s="48">
        <f>+Tabla1513[[#This Row],[FECHA TERMINACIÓN INICIAL CONTRATO]]-Tabla1513[[#This Row],[FECHA INICIO CONTRATO]]</f>
        <v>118</v>
      </c>
      <c r="T339" s="24" t="s">
        <v>318</v>
      </c>
      <c r="U339" s="4"/>
      <c r="V339" s="24" t="s">
        <v>318</v>
      </c>
      <c r="W339" s="70">
        <v>45904</v>
      </c>
      <c r="X339" s="70">
        <v>46022</v>
      </c>
      <c r="Y339" s="70">
        <v>46022</v>
      </c>
      <c r="Z339" s="72" t="s">
        <v>319</v>
      </c>
      <c r="AA339" s="60"/>
      <c r="AB339" s="131"/>
      <c r="AC339" s="56" t="s">
        <v>434</v>
      </c>
      <c r="AD339" s="34"/>
      <c r="AE339" s="34"/>
      <c r="AF339" s="35"/>
      <c r="AG339" s="36" t="s">
        <v>1833</v>
      </c>
      <c r="AH339" s="63">
        <v>2025</v>
      </c>
    </row>
    <row r="340" spans="1:34" ht="29" x14ac:dyDescent="0.35">
      <c r="A340" s="55" t="s">
        <v>330</v>
      </c>
      <c r="B340" s="2" t="s">
        <v>4</v>
      </c>
      <c r="C340" s="30" t="s">
        <v>579</v>
      </c>
      <c r="D340" s="2" t="s">
        <v>362</v>
      </c>
      <c r="E340" s="96" t="s">
        <v>1722</v>
      </c>
      <c r="F340" s="70">
        <v>45884</v>
      </c>
      <c r="G340" s="30" t="s">
        <v>119</v>
      </c>
      <c r="H340" s="94" t="s">
        <v>1725</v>
      </c>
      <c r="I340" s="111">
        <v>90060000</v>
      </c>
      <c r="J340" s="101">
        <v>17111400</v>
      </c>
      <c r="K340" s="47">
        <v>107171400</v>
      </c>
      <c r="L340" s="77" t="s">
        <v>84</v>
      </c>
      <c r="M340" s="54">
        <v>901188624</v>
      </c>
      <c r="N340" s="30" t="s">
        <v>91</v>
      </c>
      <c r="O340" s="2" t="s">
        <v>1726</v>
      </c>
      <c r="P340" s="73" t="s">
        <v>318</v>
      </c>
      <c r="Q340" s="3"/>
      <c r="R340" s="32">
        <f>+Tabla1513[[#This Row],[VALOR INICIAL DEL CONTRATO CON IVA]]+Tabla1513[[#This Row],[VALOR DE LAS ADICIONES CON IVA]]</f>
        <v>107171400</v>
      </c>
      <c r="S340" s="48">
        <f>+Tabla1513[[#This Row],[FECHA TERMINACIÓN INICIAL CONTRATO]]-Tabla1513[[#This Row],[FECHA INICIO CONTRATO]]</f>
        <v>124</v>
      </c>
      <c r="T340" s="24" t="s">
        <v>318</v>
      </c>
      <c r="U340" s="4"/>
      <c r="V340" s="24" t="s">
        <v>318</v>
      </c>
      <c r="W340" s="70">
        <v>45898</v>
      </c>
      <c r="X340" s="70">
        <v>46022</v>
      </c>
      <c r="Y340" s="70">
        <v>46022</v>
      </c>
      <c r="Z340" s="72" t="s">
        <v>319</v>
      </c>
      <c r="AA340" s="60"/>
      <c r="AB340" s="131"/>
      <c r="AC340" s="56" t="s">
        <v>1724</v>
      </c>
      <c r="AD340" s="34"/>
      <c r="AE340" s="34"/>
      <c r="AF340" s="35"/>
      <c r="AG340" s="36" t="s">
        <v>1834</v>
      </c>
      <c r="AH340" s="63">
        <v>2025</v>
      </c>
    </row>
    <row r="341" spans="1:34" ht="29" x14ac:dyDescent="0.35">
      <c r="A341" s="55" t="s">
        <v>330</v>
      </c>
      <c r="B341" s="2" t="s">
        <v>11</v>
      </c>
      <c r="C341" s="30" t="s">
        <v>19</v>
      </c>
      <c r="D341" s="2" t="s">
        <v>714</v>
      </c>
      <c r="E341" s="96" t="s">
        <v>1723</v>
      </c>
      <c r="F341" s="70">
        <v>45883</v>
      </c>
      <c r="G341" s="30" t="s">
        <v>113</v>
      </c>
      <c r="H341" s="94" t="s">
        <v>1727</v>
      </c>
      <c r="I341" s="111">
        <v>902000</v>
      </c>
      <c r="J341" s="101">
        <v>0</v>
      </c>
      <c r="K341" s="47">
        <v>902000</v>
      </c>
      <c r="L341" s="77" t="s">
        <v>84</v>
      </c>
      <c r="M341" s="54">
        <v>901245493</v>
      </c>
      <c r="N341" s="30" t="s">
        <v>120</v>
      </c>
      <c r="O341" s="2" t="s">
        <v>1728</v>
      </c>
      <c r="P341" s="73" t="s">
        <v>318</v>
      </c>
      <c r="Q341" s="3"/>
      <c r="R341" s="32">
        <f>+Tabla1513[[#This Row],[VALOR INICIAL DEL CONTRATO CON IVA]]+Tabla1513[[#This Row],[VALOR DE LAS ADICIONES CON IVA]]</f>
        <v>902000</v>
      </c>
      <c r="S341" s="48">
        <f>+Tabla1513[[#This Row],[FECHA TERMINACIÓN INICIAL CONTRATO]]-Tabla1513[[#This Row],[FECHA INICIO CONTRATO]]</f>
        <v>30</v>
      </c>
      <c r="T341" s="24" t="s">
        <v>318</v>
      </c>
      <c r="U341" s="4"/>
      <c r="V341" s="24" t="s">
        <v>318</v>
      </c>
      <c r="W341" s="70">
        <v>45883</v>
      </c>
      <c r="X341" s="70">
        <v>45913</v>
      </c>
      <c r="Y341" s="70">
        <v>45913</v>
      </c>
      <c r="Z341" s="72" t="s">
        <v>405</v>
      </c>
      <c r="AA341" s="60"/>
      <c r="AB341" s="60" t="s">
        <v>406</v>
      </c>
      <c r="AC341" s="56" t="s">
        <v>684</v>
      </c>
      <c r="AD341" s="34"/>
      <c r="AE341" s="34"/>
      <c r="AF341" s="35"/>
      <c r="AG341" s="36" t="s">
        <v>1835</v>
      </c>
      <c r="AH341" s="63">
        <v>2025</v>
      </c>
    </row>
    <row r="342" spans="1:34" ht="58" x14ac:dyDescent="0.35">
      <c r="A342" s="55" t="s">
        <v>330</v>
      </c>
      <c r="B342" s="2" t="s">
        <v>31</v>
      </c>
      <c r="C342" s="30" t="s">
        <v>37</v>
      </c>
      <c r="D342" s="2" t="s">
        <v>313</v>
      </c>
      <c r="E342" s="96" t="s">
        <v>1684</v>
      </c>
      <c r="F342" s="70">
        <v>45890</v>
      </c>
      <c r="G342" s="30" t="s">
        <v>150</v>
      </c>
      <c r="H342" s="94" t="s">
        <v>1694</v>
      </c>
      <c r="I342" s="111">
        <v>34000000</v>
      </c>
      <c r="J342" s="101">
        <v>0</v>
      </c>
      <c r="K342" s="47">
        <v>34000000</v>
      </c>
      <c r="L342" s="77" t="s">
        <v>96</v>
      </c>
      <c r="M342" s="54">
        <v>1090464451</v>
      </c>
      <c r="N342" s="30"/>
      <c r="O342" s="2" t="s">
        <v>1695</v>
      </c>
      <c r="P342" s="73" t="s">
        <v>318</v>
      </c>
      <c r="Q342" s="3"/>
      <c r="R342" s="32">
        <f>+Tabla1513[[#This Row],[VALOR INICIAL DEL CONTRATO CON IVA]]+Tabla1513[[#This Row],[VALOR DE LAS ADICIONES CON IVA]]</f>
        <v>34000000</v>
      </c>
      <c r="S342" s="48">
        <f>+Tabla1513[[#This Row],[FECHA TERMINACIÓN INICIAL CONTRATO]]-Tabla1513[[#This Row],[FECHA INICIO CONTRATO]]</f>
        <v>122</v>
      </c>
      <c r="T342" s="24" t="s">
        <v>318</v>
      </c>
      <c r="U342" s="4"/>
      <c r="V342" s="24" t="s">
        <v>318</v>
      </c>
      <c r="W342" s="70">
        <v>45898</v>
      </c>
      <c r="X342" s="70">
        <v>46020</v>
      </c>
      <c r="Y342" s="70">
        <v>46020</v>
      </c>
      <c r="Z342" s="72" t="s">
        <v>319</v>
      </c>
      <c r="AA342" s="60"/>
      <c r="AB342" s="131"/>
      <c r="AC342" s="56" t="s">
        <v>415</v>
      </c>
      <c r="AD342" s="34"/>
      <c r="AE342" s="34"/>
      <c r="AF342" s="35"/>
      <c r="AG342" s="36" t="s">
        <v>1851</v>
      </c>
      <c r="AH342" s="63">
        <v>2025</v>
      </c>
    </row>
    <row r="343" spans="1:34" ht="29" x14ac:dyDescent="0.35">
      <c r="A343" s="55" t="s">
        <v>330</v>
      </c>
      <c r="B343" s="2" t="s">
        <v>310</v>
      </c>
      <c r="C343" s="30" t="s">
        <v>27</v>
      </c>
      <c r="D343" s="2" t="s">
        <v>362</v>
      </c>
      <c r="E343" s="96" t="s">
        <v>1729</v>
      </c>
      <c r="F343" s="70">
        <v>45894</v>
      </c>
      <c r="G343" s="30" t="s">
        <v>150</v>
      </c>
      <c r="H343" s="94" t="s">
        <v>1731</v>
      </c>
      <c r="I343" s="111">
        <v>580000000</v>
      </c>
      <c r="J343" s="101">
        <v>110200000</v>
      </c>
      <c r="K343" s="47">
        <v>690200000</v>
      </c>
      <c r="L343" s="77" t="s">
        <v>84</v>
      </c>
      <c r="M343" s="54">
        <v>800226417</v>
      </c>
      <c r="N343" s="30" t="s">
        <v>85</v>
      </c>
      <c r="O343" s="2" t="s">
        <v>1732</v>
      </c>
      <c r="P343" s="73" t="s">
        <v>318</v>
      </c>
      <c r="Q343" s="3"/>
      <c r="R343" s="32">
        <f>+Tabla1513[[#This Row],[VALOR INICIAL DEL CONTRATO CON IVA]]+Tabla1513[[#This Row],[VALOR DE LAS ADICIONES CON IVA]]</f>
        <v>690200000</v>
      </c>
      <c r="S343" s="48">
        <f>+Tabla1513[[#This Row],[FECHA TERMINACIÓN INICIAL CONTRATO]]-Tabla1513[[#This Row],[FECHA INICIO CONTRATO]]</f>
        <v>482</v>
      </c>
      <c r="T343" s="24" t="s">
        <v>318</v>
      </c>
      <c r="U343" s="4"/>
      <c r="V343" s="24" t="s">
        <v>318</v>
      </c>
      <c r="W343" s="70">
        <v>45905</v>
      </c>
      <c r="X343" s="70">
        <v>46387</v>
      </c>
      <c r="Y343" s="70">
        <v>46387</v>
      </c>
      <c r="Z343" s="72" t="s">
        <v>319</v>
      </c>
      <c r="AA343" s="60"/>
      <c r="AB343" s="131"/>
      <c r="AC343" s="56" t="s">
        <v>733</v>
      </c>
      <c r="AD343" s="34"/>
      <c r="AE343" s="34"/>
      <c r="AF343" s="35"/>
      <c r="AG343" s="36" t="s">
        <v>1836</v>
      </c>
      <c r="AH343" s="63">
        <v>2025</v>
      </c>
    </row>
    <row r="344" spans="1:34" ht="43.5" x14ac:dyDescent="0.35">
      <c r="A344" s="55" t="s">
        <v>330</v>
      </c>
      <c r="B344" s="2" t="s">
        <v>11</v>
      </c>
      <c r="C344" s="30" t="s">
        <v>20</v>
      </c>
      <c r="D344" s="2" t="s">
        <v>714</v>
      </c>
      <c r="E344" s="96" t="s">
        <v>1730</v>
      </c>
      <c r="F344" s="70">
        <v>45891</v>
      </c>
      <c r="G344" s="30" t="s">
        <v>150</v>
      </c>
      <c r="H344" s="94" t="s">
        <v>1733</v>
      </c>
      <c r="I344" s="111">
        <v>4000000</v>
      </c>
      <c r="J344" s="101">
        <v>760000</v>
      </c>
      <c r="K344" s="47">
        <v>4760000</v>
      </c>
      <c r="L344" s="77" t="s">
        <v>84</v>
      </c>
      <c r="M344" s="54">
        <v>860012336</v>
      </c>
      <c r="N344" s="30" t="s">
        <v>91</v>
      </c>
      <c r="O344" s="2" t="s">
        <v>813</v>
      </c>
      <c r="P344" s="73" t="s">
        <v>318</v>
      </c>
      <c r="Q344" s="3"/>
      <c r="R344" s="32">
        <f>+Tabla1513[[#This Row],[VALOR INICIAL DEL CONTRATO CON IVA]]+Tabla1513[[#This Row],[VALOR DE LAS ADICIONES CON IVA]]</f>
        <v>4760000</v>
      </c>
      <c r="S344" s="48">
        <f>+Tabla1513[[#This Row],[FECHA TERMINACIÓN INICIAL CONTRATO]]-Tabla1513[[#This Row],[FECHA INICIO CONTRATO]]</f>
        <v>2</v>
      </c>
      <c r="T344" s="24" t="s">
        <v>318</v>
      </c>
      <c r="U344" s="4"/>
      <c r="V344" s="24" t="s">
        <v>318</v>
      </c>
      <c r="W344" s="70">
        <v>45896</v>
      </c>
      <c r="X344" s="70">
        <v>45898</v>
      </c>
      <c r="Y344" s="70">
        <v>45898</v>
      </c>
      <c r="Z344" s="72" t="s">
        <v>405</v>
      </c>
      <c r="AA344" s="60"/>
      <c r="AB344" s="60" t="s">
        <v>406</v>
      </c>
      <c r="AC344" s="56" t="s">
        <v>770</v>
      </c>
      <c r="AD344" s="34"/>
      <c r="AE344" s="34"/>
      <c r="AF344" s="35"/>
      <c r="AG344" s="36" t="s">
        <v>1837</v>
      </c>
      <c r="AH344" s="63">
        <v>2025</v>
      </c>
    </row>
    <row r="345" spans="1:34" ht="43.5" x14ac:dyDescent="0.35">
      <c r="A345" s="55" t="s">
        <v>330</v>
      </c>
      <c r="B345" s="2" t="s">
        <v>422</v>
      </c>
      <c r="C345" s="30" t="s">
        <v>46</v>
      </c>
      <c r="D345" s="2" t="s">
        <v>313</v>
      </c>
      <c r="E345" s="96" t="s">
        <v>1734</v>
      </c>
      <c r="F345" s="70">
        <v>45898</v>
      </c>
      <c r="G345" s="30" t="s">
        <v>150</v>
      </c>
      <c r="H345" s="94" t="s">
        <v>1736</v>
      </c>
      <c r="I345" s="111">
        <v>54000000</v>
      </c>
      <c r="J345" s="101">
        <v>10260000</v>
      </c>
      <c r="K345" s="47">
        <v>64260000</v>
      </c>
      <c r="L345" s="77" t="s">
        <v>84</v>
      </c>
      <c r="M345" s="54">
        <v>800214001</v>
      </c>
      <c r="N345" s="30" t="s">
        <v>123</v>
      </c>
      <c r="O345" s="2" t="s">
        <v>1737</v>
      </c>
      <c r="P345" s="73" t="s">
        <v>318</v>
      </c>
      <c r="Q345" s="3"/>
      <c r="R345" s="32">
        <f>+Tabla1513[[#This Row],[VALOR INICIAL DEL CONTRATO CON IVA]]+Tabla1513[[#This Row],[VALOR DE LAS ADICIONES CON IVA]]</f>
        <v>64260000</v>
      </c>
      <c r="S345" s="48">
        <f>+Tabla1513[[#This Row],[FECHA TERMINACIÓN INICIAL CONTRATO]]-Tabla1513[[#This Row],[FECHA INICIO CONTRATO]]</f>
        <v>364</v>
      </c>
      <c r="T345" s="24" t="s">
        <v>318</v>
      </c>
      <c r="U345" s="4"/>
      <c r="V345" s="24" t="s">
        <v>318</v>
      </c>
      <c r="W345" s="70">
        <v>45901</v>
      </c>
      <c r="X345" s="70">
        <v>46265</v>
      </c>
      <c r="Y345" s="70">
        <v>46265</v>
      </c>
      <c r="Z345" s="72" t="s">
        <v>319</v>
      </c>
      <c r="AA345" s="60"/>
      <c r="AB345" s="131"/>
      <c r="AC345" s="56" t="s">
        <v>434</v>
      </c>
      <c r="AD345" s="34"/>
      <c r="AE345" s="34"/>
      <c r="AF345" s="35"/>
      <c r="AG345" s="36" t="s">
        <v>1852</v>
      </c>
      <c r="AH345" s="63">
        <v>2025</v>
      </c>
    </row>
    <row r="346" spans="1:34" ht="29" x14ac:dyDescent="0.35">
      <c r="A346" s="55" t="s">
        <v>330</v>
      </c>
      <c r="B346" s="2" t="s">
        <v>11</v>
      </c>
      <c r="C346" s="30" t="s">
        <v>19</v>
      </c>
      <c r="D346" s="2" t="s">
        <v>714</v>
      </c>
      <c r="E346" s="96" t="s">
        <v>1735</v>
      </c>
      <c r="F346" s="70">
        <v>45884</v>
      </c>
      <c r="G346" s="30" t="s">
        <v>113</v>
      </c>
      <c r="H346" s="94" t="s">
        <v>1738</v>
      </c>
      <c r="I346" s="111">
        <v>2845168</v>
      </c>
      <c r="J346" s="101">
        <v>540581</v>
      </c>
      <c r="K346" s="47">
        <v>3385749</v>
      </c>
      <c r="L346" s="77" t="s">
        <v>84</v>
      </c>
      <c r="M346" s="54">
        <v>900077267</v>
      </c>
      <c r="N346" s="30" t="s">
        <v>111</v>
      </c>
      <c r="O346" s="2" t="s">
        <v>1739</v>
      </c>
      <c r="P346" s="73" t="s">
        <v>318</v>
      </c>
      <c r="Q346" s="3"/>
      <c r="R346" s="32">
        <f>+Tabla1513[[#This Row],[VALOR INICIAL DEL CONTRATO CON IVA]]+Tabla1513[[#This Row],[VALOR DE LAS ADICIONES CON IVA]]</f>
        <v>3385749</v>
      </c>
      <c r="S346" s="48">
        <f>+Tabla1513[[#This Row],[FECHA TERMINACIÓN INICIAL CONTRATO]]-Tabla1513[[#This Row],[FECHA INICIO CONTRATO]]</f>
        <v>30</v>
      </c>
      <c r="T346" s="24" t="s">
        <v>318</v>
      </c>
      <c r="U346" s="4"/>
      <c r="V346" s="24" t="s">
        <v>318</v>
      </c>
      <c r="W346" s="70">
        <v>45884</v>
      </c>
      <c r="X346" s="70">
        <v>45914</v>
      </c>
      <c r="Y346" s="70">
        <v>45914</v>
      </c>
      <c r="Z346" s="72" t="s">
        <v>405</v>
      </c>
      <c r="AA346" s="60"/>
      <c r="AB346" s="60" t="s">
        <v>406</v>
      </c>
      <c r="AC346" s="56" t="s">
        <v>1062</v>
      </c>
      <c r="AD346" s="34"/>
      <c r="AE346" s="34"/>
      <c r="AF346" s="35"/>
      <c r="AG346" s="36" t="s">
        <v>1838</v>
      </c>
      <c r="AH346" s="63">
        <v>2025</v>
      </c>
    </row>
    <row r="347" spans="1:34" ht="29" x14ac:dyDescent="0.35">
      <c r="A347" s="55" t="s">
        <v>330</v>
      </c>
      <c r="B347" s="2" t="s">
        <v>11</v>
      </c>
      <c r="C347" s="30" t="s">
        <v>19</v>
      </c>
      <c r="D347" s="2" t="s">
        <v>714</v>
      </c>
      <c r="E347" s="96" t="s">
        <v>1741</v>
      </c>
      <c r="F347" s="70">
        <v>45897</v>
      </c>
      <c r="G347" s="30" t="s">
        <v>113</v>
      </c>
      <c r="H347" s="94" t="s">
        <v>1744</v>
      </c>
      <c r="I347" s="111">
        <v>1785000</v>
      </c>
      <c r="J347" s="101">
        <v>339150</v>
      </c>
      <c r="K347" s="47">
        <v>2124150</v>
      </c>
      <c r="L347" s="77" t="s">
        <v>84</v>
      </c>
      <c r="M347" s="54">
        <v>860000091</v>
      </c>
      <c r="N347" s="30" t="s">
        <v>85</v>
      </c>
      <c r="O347" s="2" t="s">
        <v>1745</v>
      </c>
      <c r="P347" s="73" t="s">
        <v>318</v>
      </c>
      <c r="Q347" s="3"/>
      <c r="R347" s="32">
        <f>+Tabla1513[[#This Row],[VALOR INICIAL DEL CONTRATO CON IVA]]+Tabla1513[[#This Row],[VALOR DE LAS ADICIONES CON IVA]]</f>
        <v>2124150</v>
      </c>
      <c r="S347" s="48">
        <f>+Tabla1513[[#This Row],[FECHA TERMINACIÓN INICIAL CONTRATO]]-Tabla1513[[#This Row],[FECHA INICIO CONTRATO]]</f>
        <v>8</v>
      </c>
      <c r="T347" s="24" t="s">
        <v>318</v>
      </c>
      <c r="U347" s="4"/>
      <c r="V347" s="24" t="s">
        <v>318</v>
      </c>
      <c r="W347" s="70">
        <v>45897</v>
      </c>
      <c r="X347" s="70">
        <v>45905</v>
      </c>
      <c r="Y347" s="70">
        <v>45905</v>
      </c>
      <c r="Z347" s="72" t="s">
        <v>405</v>
      </c>
      <c r="AA347" s="60"/>
      <c r="AB347" s="60" t="s">
        <v>406</v>
      </c>
      <c r="AC347" s="56" t="s">
        <v>1062</v>
      </c>
      <c r="AD347" s="34"/>
      <c r="AE347" s="34"/>
      <c r="AF347" s="35"/>
      <c r="AG347" s="36" t="s">
        <v>1853</v>
      </c>
      <c r="AH347" s="63">
        <v>2025</v>
      </c>
    </row>
    <row r="348" spans="1:34" ht="29" x14ac:dyDescent="0.35">
      <c r="A348" s="55" t="s">
        <v>330</v>
      </c>
      <c r="B348" s="2" t="s">
        <v>11</v>
      </c>
      <c r="C348" s="30" t="s">
        <v>19</v>
      </c>
      <c r="D348" s="2" t="s">
        <v>714</v>
      </c>
      <c r="E348" s="96" t="s">
        <v>1740</v>
      </c>
      <c r="F348" s="70">
        <v>45896</v>
      </c>
      <c r="G348" s="30" t="s">
        <v>113</v>
      </c>
      <c r="H348" s="94" t="s">
        <v>1742</v>
      </c>
      <c r="I348" s="111">
        <v>3224186</v>
      </c>
      <c r="J348" s="101">
        <v>612595</v>
      </c>
      <c r="K348" s="47">
        <v>3836782</v>
      </c>
      <c r="L348" s="77" t="s">
        <v>84</v>
      </c>
      <c r="M348" s="54">
        <v>830001338</v>
      </c>
      <c r="N348" s="30" t="s">
        <v>91</v>
      </c>
      <c r="O348" s="2" t="s">
        <v>1743</v>
      </c>
      <c r="P348" s="73" t="s">
        <v>318</v>
      </c>
      <c r="Q348" s="3"/>
      <c r="R348" s="32">
        <f>+Tabla1513[[#This Row],[VALOR INICIAL DEL CONTRATO CON IVA]]+Tabla1513[[#This Row],[VALOR DE LAS ADICIONES CON IVA]]</f>
        <v>3836782</v>
      </c>
      <c r="S348" s="48">
        <f>+Tabla1513[[#This Row],[FECHA TERMINACIÓN INICIAL CONTRATO]]-Tabla1513[[#This Row],[FECHA INICIO CONTRATO]]</f>
        <v>5</v>
      </c>
      <c r="T348" s="24" t="s">
        <v>318</v>
      </c>
      <c r="U348" s="4"/>
      <c r="V348" s="24" t="s">
        <v>318</v>
      </c>
      <c r="W348" s="70">
        <v>45896</v>
      </c>
      <c r="X348" s="70">
        <v>45901</v>
      </c>
      <c r="Y348" s="70">
        <v>45901</v>
      </c>
      <c r="Z348" s="72" t="s">
        <v>405</v>
      </c>
      <c r="AA348" s="60"/>
      <c r="AB348" s="60" t="s">
        <v>406</v>
      </c>
      <c r="AC348" s="56" t="s">
        <v>1062</v>
      </c>
      <c r="AD348" s="34"/>
      <c r="AE348" s="34"/>
      <c r="AF348" s="35"/>
      <c r="AG348" s="36" t="s">
        <v>1839</v>
      </c>
      <c r="AH348" s="63">
        <v>2025</v>
      </c>
    </row>
    <row r="349" spans="1:34" ht="58" x14ac:dyDescent="0.35">
      <c r="A349" s="55" t="s">
        <v>330</v>
      </c>
      <c r="B349" s="2" t="s">
        <v>31</v>
      </c>
      <c r="C349" s="30" t="s">
        <v>37</v>
      </c>
      <c r="D349" s="2" t="s">
        <v>412</v>
      </c>
      <c r="E349" s="96" t="s">
        <v>1760</v>
      </c>
      <c r="F349" s="70">
        <v>45903</v>
      </c>
      <c r="G349" s="30" t="s">
        <v>150</v>
      </c>
      <c r="H349" s="94" t="s">
        <v>1764</v>
      </c>
      <c r="I349" s="111">
        <v>531969954</v>
      </c>
      <c r="J349" s="101">
        <v>69815345</v>
      </c>
      <c r="K349" s="47">
        <v>601785299</v>
      </c>
      <c r="L349" s="77" t="s">
        <v>84</v>
      </c>
      <c r="M349" s="54">
        <v>900345403</v>
      </c>
      <c r="N349" s="30" t="s">
        <v>85</v>
      </c>
      <c r="O349" s="2" t="s">
        <v>1765</v>
      </c>
      <c r="P349" s="73" t="s">
        <v>318</v>
      </c>
      <c r="Q349" s="3"/>
      <c r="R349" s="32">
        <f>+Tabla1513[[#This Row],[VALOR INICIAL DEL CONTRATO CON IVA]]+Tabla1513[[#This Row],[VALOR DE LAS ADICIONES CON IVA]]</f>
        <v>601785299</v>
      </c>
      <c r="S349" s="48">
        <f>+Tabla1513[[#This Row],[FECHA TERMINACIÓN INICIAL CONTRATO]]-Tabla1513[[#This Row],[FECHA INICIO CONTRATO]]</f>
        <v>487</v>
      </c>
      <c r="T349" s="24" t="s">
        <v>318</v>
      </c>
      <c r="U349" s="4"/>
      <c r="V349" s="24" t="s">
        <v>318</v>
      </c>
      <c r="W349" s="70">
        <v>45916</v>
      </c>
      <c r="X349" s="70">
        <v>46403</v>
      </c>
      <c r="Y349" s="70">
        <v>46403</v>
      </c>
      <c r="Z349" s="72" t="s">
        <v>319</v>
      </c>
      <c r="AA349" s="60"/>
      <c r="AB349" s="60"/>
      <c r="AC349" s="56" t="s">
        <v>477</v>
      </c>
      <c r="AD349" s="34">
        <v>2.87E-2</v>
      </c>
      <c r="AE349" s="34">
        <v>0</v>
      </c>
      <c r="AF349" s="35"/>
      <c r="AG349" s="36" t="s">
        <v>1854</v>
      </c>
      <c r="AH349" s="63">
        <v>2025</v>
      </c>
    </row>
    <row r="350" spans="1:34" ht="72.5" x14ac:dyDescent="0.35">
      <c r="A350" s="55" t="s">
        <v>330</v>
      </c>
      <c r="B350" s="2" t="s">
        <v>31</v>
      </c>
      <c r="C350" s="30" t="s">
        <v>1763</v>
      </c>
      <c r="D350" s="2" t="s">
        <v>313</v>
      </c>
      <c r="E350" s="96" t="s">
        <v>1761</v>
      </c>
      <c r="F350" s="70">
        <v>45903</v>
      </c>
      <c r="G350" s="30" t="s">
        <v>150</v>
      </c>
      <c r="H350" s="94" t="s">
        <v>1766</v>
      </c>
      <c r="I350" s="111">
        <v>50969939</v>
      </c>
      <c r="J350" s="101">
        <v>9684288</v>
      </c>
      <c r="K350" s="47">
        <v>60654228</v>
      </c>
      <c r="L350" s="77" t="s">
        <v>84</v>
      </c>
      <c r="M350" s="54">
        <v>900239396</v>
      </c>
      <c r="N350" s="30" t="s">
        <v>103</v>
      </c>
      <c r="O350" s="2" t="s">
        <v>1767</v>
      </c>
      <c r="P350" s="73" t="s">
        <v>318</v>
      </c>
      <c r="Q350" s="3"/>
      <c r="R350" s="32">
        <f>+Tabla1513[[#This Row],[VALOR INICIAL DEL CONTRATO CON IVA]]+Tabla1513[[#This Row],[VALOR DE LAS ADICIONES CON IVA]]</f>
        <v>60654228</v>
      </c>
      <c r="S350" s="48">
        <f>+Tabla1513[[#This Row],[FECHA TERMINACIÓN INICIAL CONTRATO]]-Tabla1513[[#This Row],[FECHA INICIO CONTRATO]]</f>
        <v>364</v>
      </c>
      <c r="T350" s="24" t="s">
        <v>318</v>
      </c>
      <c r="U350" s="4"/>
      <c r="V350" s="24" t="s">
        <v>318</v>
      </c>
      <c r="W350" s="70">
        <v>45928</v>
      </c>
      <c r="X350" s="70">
        <v>46292</v>
      </c>
      <c r="Y350" s="70">
        <v>46292</v>
      </c>
      <c r="Z350" s="72" t="s">
        <v>319</v>
      </c>
      <c r="AA350" s="60"/>
      <c r="AB350" s="60"/>
      <c r="AC350" s="56" t="s">
        <v>574</v>
      </c>
      <c r="AD350" s="34">
        <v>0</v>
      </c>
      <c r="AE350" s="34">
        <v>0</v>
      </c>
      <c r="AF350" s="35"/>
      <c r="AG350" s="36" t="s">
        <v>1840</v>
      </c>
      <c r="AH350" s="63">
        <v>2025</v>
      </c>
    </row>
    <row r="351" spans="1:34" ht="43.5" x14ac:dyDescent="0.35">
      <c r="A351" s="55" t="s">
        <v>330</v>
      </c>
      <c r="B351" s="2" t="s">
        <v>11</v>
      </c>
      <c r="C351" s="30" t="s">
        <v>20</v>
      </c>
      <c r="D351" s="2" t="s">
        <v>714</v>
      </c>
      <c r="E351" s="96" t="s">
        <v>1762</v>
      </c>
      <c r="F351" s="70">
        <v>45904</v>
      </c>
      <c r="G351" s="30" t="s">
        <v>150</v>
      </c>
      <c r="H351" s="94" t="s">
        <v>1768</v>
      </c>
      <c r="I351" s="111">
        <v>2100000</v>
      </c>
      <c r="J351" s="101">
        <v>399000</v>
      </c>
      <c r="K351" s="47">
        <v>2499000</v>
      </c>
      <c r="L351" s="77" t="s">
        <v>84</v>
      </c>
      <c r="M351" s="54">
        <v>901033334</v>
      </c>
      <c r="N351" s="30" t="s">
        <v>111</v>
      </c>
      <c r="O351" s="2" t="s">
        <v>1769</v>
      </c>
      <c r="P351" s="73" t="s">
        <v>318</v>
      </c>
      <c r="Q351" s="3"/>
      <c r="R351" s="32">
        <f>+Tabla1513[[#This Row],[VALOR INICIAL DEL CONTRATO CON IVA]]+Tabla1513[[#This Row],[VALOR DE LAS ADICIONES CON IVA]]</f>
        <v>2499000</v>
      </c>
      <c r="S351" s="48">
        <f>+Tabla1513[[#This Row],[FECHA TERMINACIÓN INICIAL CONTRATO]]-Tabla1513[[#This Row],[FECHA INICIO CONTRATO]]</f>
        <v>1</v>
      </c>
      <c r="T351" s="24" t="s">
        <v>318</v>
      </c>
      <c r="U351" s="4"/>
      <c r="V351" s="24" t="s">
        <v>318</v>
      </c>
      <c r="W351" s="70">
        <v>45911</v>
      </c>
      <c r="X351" s="70">
        <v>45912</v>
      </c>
      <c r="Y351" s="70">
        <v>45912</v>
      </c>
      <c r="Z351" s="72" t="s">
        <v>405</v>
      </c>
      <c r="AA351" s="60"/>
      <c r="AB351" s="56" t="s">
        <v>406</v>
      </c>
      <c r="AC351" s="56" t="s">
        <v>770</v>
      </c>
      <c r="AD351" s="34">
        <v>1</v>
      </c>
      <c r="AE351" s="34">
        <v>1</v>
      </c>
      <c r="AF351" s="35"/>
      <c r="AG351" s="36" t="s">
        <v>1855</v>
      </c>
      <c r="AH351" s="63">
        <v>2025</v>
      </c>
    </row>
    <row r="352" spans="1:34" ht="29" x14ac:dyDescent="0.35">
      <c r="A352" s="55" t="s">
        <v>330</v>
      </c>
      <c r="B352" s="2" t="s">
        <v>11</v>
      </c>
      <c r="C352" s="30" t="s">
        <v>19</v>
      </c>
      <c r="D352" s="2" t="s">
        <v>714</v>
      </c>
      <c r="E352" s="96" t="s">
        <v>1770</v>
      </c>
      <c r="F352" s="70">
        <v>45898</v>
      </c>
      <c r="G352" s="30" t="s">
        <v>113</v>
      </c>
      <c r="H352" s="94" t="s">
        <v>1775</v>
      </c>
      <c r="I352" s="111">
        <v>907497</v>
      </c>
      <c r="J352" s="101">
        <v>172424</v>
      </c>
      <c r="K352" s="47">
        <v>1079921</v>
      </c>
      <c r="L352" s="77" t="s">
        <v>84</v>
      </c>
      <c r="M352" s="54">
        <v>830001338</v>
      </c>
      <c r="N352" s="30" t="s">
        <v>91</v>
      </c>
      <c r="O352" s="2" t="s">
        <v>1743</v>
      </c>
      <c r="P352" s="73" t="s">
        <v>318</v>
      </c>
      <c r="Q352" s="3"/>
      <c r="R352" s="32">
        <f>+Tabla1513[[#This Row],[VALOR INICIAL DEL CONTRATO CON IVA]]+Tabla1513[[#This Row],[VALOR DE LAS ADICIONES CON IVA]]</f>
        <v>1079921</v>
      </c>
      <c r="S352" s="48">
        <f>+Tabla1513[[#This Row],[FECHA TERMINACIÓN INICIAL CONTRATO]]-Tabla1513[[#This Row],[FECHA INICIO CONTRATO]]</f>
        <v>5</v>
      </c>
      <c r="T352" s="24" t="s">
        <v>318</v>
      </c>
      <c r="U352" s="4"/>
      <c r="V352" s="24" t="s">
        <v>318</v>
      </c>
      <c r="W352" s="70">
        <v>45898</v>
      </c>
      <c r="X352" s="70">
        <v>45903</v>
      </c>
      <c r="Y352" s="70">
        <v>45903</v>
      </c>
      <c r="Z352" s="72" t="s">
        <v>405</v>
      </c>
      <c r="AA352" s="60"/>
      <c r="AB352" s="56" t="s">
        <v>406</v>
      </c>
      <c r="AC352" s="56" t="s">
        <v>1062</v>
      </c>
      <c r="AD352" s="34">
        <v>1</v>
      </c>
      <c r="AE352" s="34">
        <v>1</v>
      </c>
      <c r="AF352" s="35"/>
      <c r="AG352" s="36" t="s">
        <v>1841</v>
      </c>
      <c r="AH352" s="63">
        <v>2025</v>
      </c>
    </row>
    <row r="353" spans="1:34" ht="29" x14ac:dyDescent="0.35">
      <c r="A353" s="55" t="s">
        <v>330</v>
      </c>
      <c r="B353" s="2" t="s">
        <v>11</v>
      </c>
      <c r="C353" s="30" t="s">
        <v>19</v>
      </c>
      <c r="D353" s="2" t="s">
        <v>714</v>
      </c>
      <c r="E353" s="96" t="s">
        <v>1771</v>
      </c>
      <c r="F353" s="70">
        <v>45905</v>
      </c>
      <c r="G353" s="30" t="s">
        <v>150</v>
      </c>
      <c r="H353" s="94" t="s">
        <v>1776</v>
      </c>
      <c r="I353" s="111">
        <v>1540000</v>
      </c>
      <c r="J353" s="101">
        <v>292600</v>
      </c>
      <c r="K353" s="47">
        <v>1832600</v>
      </c>
      <c r="L353" s="77" t="s">
        <v>84</v>
      </c>
      <c r="M353" s="54">
        <v>901406402</v>
      </c>
      <c r="N353" s="30" t="s">
        <v>91</v>
      </c>
      <c r="O353" s="2" t="s">
        <v>1777</v>
      </c>
      <c r="P353" s="73" t="s">
        <v>318</v>
      </c>
      <c r="Q353" s="3"/>
      <c r="R353" s="32">
        <f>+Tabla1513[[#This Row],[VALOR INICIAL DEL CONTRATO CON IVA]]+Tabla1513[[#This Row],[VALOR DE LAS ADICIONES CON IVA]]</f>
        <v>1832600</v>
      </c>
      <c r="S353" s="48">
        <f>+Tabla1513[[#This Row],[FECHA TERMINACIÓN INICIAL CONTRATO]]-Tabla1513[[#This Row],[FECHA INICIO CONTRATO]]</f>
        <v>90</v>
      </c>
      <c r="T353" s="24" t="s">
        <v>318</v>
      </c>
      <c r="U353" s="4"/>
      <c r="V353" s="24" t="s">
        <v>318</v>
      </c>
      <c r="W353" s="70">
        <v>45905</v>
      </c>
      <c r="X353" s="70">
        <v>45995</v>
      </c>
      <c r="Y353" s="70">
        <v>45995</v>
      </c>
      <c r="Z353" s="72" t="s">
        <v>319</v>
      </c>
      <c r="AA353" s="60"/>
      <c r="AB353" s="60"/>
      <c r="AC353" s="56" t="s">
        <v>1773</v>
      </c>
      <c r="AD353" s="34">
        <v>0.36</v>
      </c>
      <c r="AE353" s="34">
        <v>1</v>
      </c>
      <c r="AF353" s="35"/>
      <c r="AG353" s="36" t="s">
        <v>1856</v>
      </c>
      <c r="AH353" s="63">
        <v>2025</v>
      </c>
    </row>
    <row r="354" spans="1:34" ht="29" x14ac:dyDescent="0.35">
      <c r="A354" s="55" t="s">
        <v>330</v>
      </c>
      <c r="B354" s="2" t="s">
        <v>11</v>
      </c>
      <c r="C354" s="30" t="s">
        <v>19</v>
      </c>
      <c r="D354" s="2" t="s">
        <v>714</v>
      </c>
      <c r="E354" s="96" t="s">
        <v>1772</v>
      </c>
      <c r="F354" s="70">
        <v>45902</v>
      </c>
      <c r="G354" s="30" t="s">
        <v>150</v>
      </c>
      <c r="H354" s="94" t="s">
        <v>1778</v>
      </c>
      <c r="I354" s="111">
        <v>2000000</v>
      </c>
      <c r="J354" s="101">
        <v>380000</v>
      </c>
      <c r="K354" s="47">
        <v>2380000</v>
      </c>
      <c r="L354" s="77" t="s">
        <v>84</v>
      </c>
      <c r="M354" s="54">
        <v>900596937</v>
      </c>
      <c r="N354" s="30" t="s">
        <v>120</v>
      </c>
      <c r="O354" s="2" t="s">
        <v>1779</v>
      </c>
      <c r="P354" s="73" t="s">
        <v>318</v>
      </c>
      <c r="Q354" s="3"/>
      <c r="R354" s="32">
        <f>+Tabla1513[[#This Row],[VALOR INICIAL DEL CONTRATO CON IVA]]+Tabla1513[[#This Row],[VALOR DE LAS ADICIONES CON IVA]]</f>
        <v>2380000</v>
      </c>
      <c r="S354" s="48">
        <f>+Tabla1513[[#This Row],[FECHA TERMINACIÓN INICIAL CONTRATO]]-Tabla1513[[#This Row],[FECHA INICIO CONTRATO]]</f>
        <v>30</v>
      </c>
      <c r="T354" s="24" t="s">
        <v>318</v>
      </c>
      <c r="U354" s="4"/>
      <c r="V354" s="24" t="s">
        <v>318</v>
      </c>
      <c r="W354" s="70">
        <v>45902</v>
      </c>
      <c r="X354" s="70">
        <v>45932</v>
      </c>
      <c r="Y354" s="70">
        <v>45932</v>
      </c>
      <c r="Z354" s="72" t="s">
        <v>405</v>
      </c>
      <c r="AA354" s="60"/>
      <c r="AB354" s="56" t="s">
        <v>406</v>
      </c>
      <c r="AC354" s="56" t="s">
        <v>1774</v>
      </c>
      <c r="AD354" s="34">
        <v>1</v>
      </c>
      <c r="AE354" s="34">
        <v>0</v>
      </c>
      <c r="AF354" s="35"/>
      <c r="AG354" s="36" t="s">
        <v>1857</v>
      </c>
      <c r="AH354" s="63">
        <v>2025</v>
      </c>
    </row>
    <row r="355" spans="1:34" ht="29" x14ac:dyDescent="0.35">
      <c r="A355" s="55" t="s">
        <v>330</v>
      </c>
      <c r="B355" s="2" t="s">
        <v>11</v>
      </c>
      <c r="C355" s="30" t="s">
        <v>19</v>
      </c>
      <c r="D355" s="2" t="s">
        <v>313</v>
      </c>
      <c r="E355" s="96" t="s">
        <v>1780</v>
      </c>
      <c r="F355" s="70">
        <v>45909</v>
      </c>
      <c r="G355" s="30" t="s">
        <v>150</v>
      </c>
      <c r="H355" s="94" t="s">
        <v>1781</v>
      </c>
      <c r="I355" s="111">
        <v>7410000</v>
      </c>
      <c r="J355" s="101">
        <v>1407900</v>
      </c>
      <c r="K355" s="47">
        <v>8817900</v>
      </c>
      <c r="L355" s="77" t="s">
        <v>84</v>
      </c>
      <c r="M355" s="54">
        <v>900077267</v>
      </c>
      <c r="N355" s="30" t="s">
        <v>111</v>
      </c>
      <c r="O355" s="2" t="s">
        <v>1739</v>
      </c>
      <c r="P355" s="73" t="s">
        <v>318</v>
      </c>
      <c r="Q355" s="3"/>
      <c r="R355" s="32">
        <f>+Tabla1513[[#This Row],[VALOR INICIAL DEL CONTRATO CON IVA]]+Tabla1513[[#This Row],[VALOR DE LAS ADICIONES CON IVA]]</f>
        <v>8817900</v>
      </c>
      <c r="S355" s="48">
        <f>+Tabla1513[[#This Row],[FECHA TERMINACIÓN INICIAL CONTRATO]]-Tabla1513[[#This Row],[FECHA INICIO CONTRATO]]</f>
        <v>96</v>
      </c>
      <c r="T355" s="24" t="s">
        <v>318</v>
      </c>
      <c r="U355" s="4"/>
      <c r="V355" s="24" t="s">
        <v>318</v>
      </c>
      <c r="W355" s="70">
        <v>45926</v>
      </c>
      <c r="X355" s="70">
        <v>46022</v>
      </c>
      <c r="Y355" s="70">
        <v>46022</v>
      </c>
      <c r="Z355" s="72" t="s">
        <v>319</v>
      </c>
      <c r="AA355" s="60"/>
      <c r="AB355" s="60"/>
      <c r="AC355" s="56" t="s">
        <v>1774</v>
      </c>
      <c r="AD355" s="34">
        <v>0.02</v>
      </c>
      <c r="AE355" s="34">
        <v>0</v>
      </c>
      <c r="AF355" s="35">
        <v>0</v>
      </c>
      <c r="AG355" s="36" t="s">
        <v>1858</v>
      </c>
      <c r="AH355" s="63">
        <v>2025</v>
      </c>
    </row>
    <row r="356" spans="1:34" ht="29" x14ac:dyDescent="0.35">
      <c r="A356" s="55" t="s">
        <v>330</v>
      </c>
      <c r="B356" s="2" t="s">
        <v>11</v>
      </c>
      <c r="C356" s="30" t="s">
        <v>19</v>
      </c>
      <c r="D356" s="2" t="s">
        <v>313</v>
      </c>
      <c r="E356" s="96" t="s">
        <v>1782</v>
      </c>
      <c r="F356" s="70">
        <v>45910</v>
      </c>
      <c r="G356" s="30" t="s">
        <v>150</v>
      </c>
      <c r="H356" s="94" t="s">
        <v>1783</v>
      </c>
      <c r="I356" s="111">
        <v>22000000</v>
      </c>
      <c r="J356" s="101">
        <v>4180000</v>
      </c>
      <c r="K356" s="47">
        <v>26180000</v>
      </c>
      <c r="L356" s="77" t="s">
        <v>84</v>
      </c>
      <c r="M356" s="54">
        <v>900797751</v>
      </c>
      <c r="N356" s="30" t="s">
        <v>120</v>
      </c>
      <c r="O356" s="2" t="s">
        <v>1784</v>
      </c>
      <c r="P356" s="73" t="s">
        <v>318</v>
      </c>
      <c r="Q356" s="3"/>
      <c r="R356" s="32">
        <f>+Tabla1513[[#This Row],[VALOR INICIAL DEL CONTRATO CON IVA]]+Tabla1513[[#This Row],[VALOR DE LAS ADICIONES CON IVA]]</f>
        <v>26180000</v>
      </c>
      <c r="S356" s="48">
        <f>+Tabla1513[[#This Row],[FECHA TERMINACIÓN INICIAL CONTRATO]]-Tabla1513[[#This Row],[FECHA INICIO CONTRATO]]</f>
        <v>60</v>
      </c>
      <c r="T356" s="24" t="s">
        <v>318</v>
      </c>
      <c r="U356" s="4"/>
      <c r="V356" s="24" t="s">
        <v>318</v>
      </c>
      <c r="W356" s="70">
        <v>45917</v>
      </c>
      <c r="X356" s="70">
        <v>45977</v>
      </c>
      <c r="Y356" s="70">
        <v>45977</v>
      </c>
      <c r="Z356" s="72" t="s">
        <v>319</v>
      </c>
      <c r="AA356" s="60"/>
      <c r="AB356" s="60"/>
      <c r="AC356" s="56" t="s">
        <v>434</v>
      </c>
      <c r="AD356" s="34">
        <v>0.5</v>
      </c>
      <c r="AE356" s="34">
        <v>0</v>
      </c>
      <c r="AF356" s="35">
        <v>0</v>
      </c>
      <c r="AG356" s="36" t="s">
        <v>1859</v>
      </c>
      <c r="AH356" s="63">
        <v>2025</v>
      </c>
    </row>
    <row r="357" spans="1:34" ht="29" x14ac:dyDescent="0.35">
      <c r="A357" s="55" t="s">
        <v>330</v>
      </c>
      <c r="B357" s="2" t="s">
        <v>422</v>
      </c>
      <c r="C357" s="30" t="s">
        <v>43</v>
      </c>
      <c r="D357" s="2" t="s">
        <v>313</v>
      </c>
      <c r="E357" s="96" t="s">
        <v>1785</v>
      </c>
      <c r="F357" s="70">
        <v>45909</v>
      </c>
      <c r="G357" s="30" t="s">
        <v>150</v>
      </c>
      <c r="H357" s="94" t="s">
        <v>1787</v>
      </c>
      <c r="I357" s="111">
        <v>32000000</v>
      </c>
      <c r="J357" s="101">
        <v>0</v>
      </c>
      <c r="K357" s="47">
        <v>32000000</v>
      </c>
      <c r="L357" s="77" t="s">
        <v>96</v>
      </c>
      <c r="M357" s="54">
        <v>80376806</v>
      </c>
      <c r="N357" s="30"/>
      <c r="O357" s="2" t="s">
        <v>758</v>
      </c>
      <c r="P357" s="73" t="s">
        <v>318</v>
      </c>
      <c r="Q357" s="3"/>
      <c r="R357" s="32">
        <f>+Tabla1513[[#This Row],[VALOR INICIAL DEL CONTRATO CON IVA]]+Tabla1513[[#This Row],[VALOR DE LAS ADICIONES CON IVA]]</f>
        <v>32000000</v>
      </c>
      <c r="S357" s="48">
        <f>+Tabla1513[[#This Row],[FECHA TERMINACIÓN INICIAL CONTRATO]]-Tabla1513[[#This Row],[FECHA INICIO CONTRATO]]</f>
        <v>110</v>
      </c>
      <c r="T357" s="24" t="s">
        <v>318</v>
      </c>
      <c r="U357" s="4"/>
      <c r="V357" s="24" t="s">
        <v>318</v>
      </c>
      <c r="W357" s="70">
        <v>45912</v>
      </c>
      <c r="X357" s="70">
        <v>46022</v>
      </c>
      <c r="Y357" s="70">
        <v>46022</v>
      </c>
      <c r="Z357" s="72" t="s">
        <v>319</v>
      </c>
      <c r="AA357" s="60"/>
      <c r="AB357" s="60"/>
      <c r="AC357" s="56" t="s">
        <v>434</v>
      </c>
      <c r="AD357" s="34">
        <v>0.15</v>
      </c>
      <c r="AE357" s="34">
        <v>0</v>
      </c>
      <c r="AF357" s="35">
        <v>0</v>
      </c>
      <c r="AG357" s="36" t="s">
        <v>1860</v>
      </c>
      <c r="AH357" s="63">
        <v>2025</v>
      </c>
    </row>
    <row r="358" spans="1:34" ht="29" x14ac:dyDescent="0.35">
      <c r="A358" s="55" t="s">
        <v>330</v>
      </c>
      <c r="B358" s="2" t="s">
        <v>11</v>
      </c>
      <c r="C358" s="30" t="s">
        <v>19</v>
      </c>
      <c r="D358" s="2" t="s">
        <v>313</v>
      </c>
      <c r="E358" s="96" t="s">
        <v>1786</v>
      </c>
      <c r="F358" s="70">
        <v>45911</v>
      </c>
      <c r="G358" s="30" t="s">
        <v>142</v>
      </c>
      <c r="H358" s="94" t="s">
        <v>1788</v>
      </c>
      <c r="I358" s="111">
        <v>53713533</v>
      </c>
      <c r="J358" s="101">
        <v>351916</v>
      </c>
      <c r="K358" s="47">
        <v>54065449</v>
      </c>
      <c r="L358" s="77" t="s">
        <v>84</v>
      </c>
      <c r="M358" s="54">
        <v>901363727</v>
      </c>
      <c r="N358" s="30" t="s">
        <v>91</v>
      </c>
      <c r="O358" s="2" t="s">
        <v>1789</v>
      </c>
      <c r="P358" s="73" t="s">
        <v>318</v>
      </c>
      <c r="Q358" s="3"/>
      <c r="R358" s="32">
        <f>+Tabla1513[[#This Row],[VALOR INICIAL DEL CONTRATO CON IVA]]+Tabla1513[[#This Row],[VALOR DE LAS ADICIONES CON IVA]]</f>
        <v>54065449</v>
      </c>
      <c r="S358" s="48">
        <f>+Tabla1513[[#This Row],[FECHA TERMINACIÓN INICIAL CONTRATO]]-Tabla1513[[#This Row],[FECHA INICIO CONTRATO]]</f>
        <v>96</v>
      </c>
      <c r="T358" s="24" t="s">
        <v>318</v>
      </c>
      <c r="U358" s="4"/>
      <c r="V358" s="24" t="s">
        <v>318</v>
      </c>
      <c r="W358" s="70">
        <v>45926</v>
      </c>
      <c r="X358" s="70">
        <v>46022</v>
      </c>
      <c r="Y358" s="70">
        <v>46022</v>
      </c>
      <c r="Z358" s="72" t="s">
        <v>319</v>
      </c>
      <c r="AA358" s="60"/>
      <c r="AB358" s="60"/>
      <c r="AC358" s="56" t="s">
        <v>1774</v>
      </c>
      <c r="AD358" s="34">
        <v>0.01</v>
      </c>
      <c r="AE358" s="34">
        <v>0</v>
      </c>
      <c r="AF358" s="35">
        <v>0</v>
      </c>
      <c r="AG358" s="36" t="s">
        <v>1861</v>
      </c>
      <c r="AH358" s="63">
        <v>2025</v>
      </c>
    </row>
    <row r="359" spans="1:34" ht="58" x14ac:dyDescent="0.35">
      <c r="A359" s="55" t="s">
        <v>330</v>
      </c>
      <c r="B359" s="2" t="s">
        <v>4</v>
      </c>
      <c r="C359" s="30" t="s">
        <v>579</v>
      </c>
      <c r="D359" s="2" t="s">
        <v>362</v>
      </c>
      <c r="E359" s="96" t="s">
        <v>1790</v>
      </c>
      <c r="F359" s="70">
        <v>45911</v>
      </c>
      <c r="G359" s="30" t="s">
        <v>150</v>
      </c>
      <c r="H359" s="94" t="s">
        <v>1792</v>
      </c>
      <c r="I359" s="111">
        <v>236359223</v>
      </c>
      <c r="J359" s="101">
        <v>44908252</v>
      </c>
      <c r="K359" s="47">
        <v>281267475</v>
      </c>
      <c r="L359" s="77" t="s">
        <v>84</v>
      </c>
      <c r="M359" s="54">
        <v>830017209</v>
      </c>
      <c r="N359" s="30" t="s">
        <v>120</v>
      </c>
      <c r="O359" s="2" t="s">
        <v>1793</v>
      </c>
      <c r="P359" s="73" t="s">
        <v>318</v>
      </c>
      <c r="Q359" s="3"/>
      <c r="R359" s="32">
        <f>+Tabla1513[[#This Row],[VALOR INICIAL DEL CONTRATO CON IVA]]+Tabla1513[[#This Row],[VALOR DE LAS ADICIONES CON IVA]]</f>
        <v>281267475</v>
      </c>
      <c r="S359" s="48">
        <f>+Tabla1513[[#This Row],[FECHA TERMINACIÓN INICIAL CONTRATO]]-Tabla1513[[#This Row],[FECHA INICIO CONTRATO]]</f>
        <v>729</v>
      </c>
      <c r="T359" s="24" t="s">
        <v>318</v>
      </c>
      <c r="U359" s="4"/>
      <c r="V359" s="24" t="s">
        <v>318</v>
      </c>
      <c r="W359" s="70">
        <v>45931</v>
      </c>
      <c r="X359" s="70">
        <v>46660</v>
      </c>
      <c r="Y359" s="70">
        <v>46660</v>
      </c>
      <c r="Z359" s="72" t="s">
        <v>319</v>
      </c>
      <c r="AA359" s="60"/>
      <c r="AB359" s="60"/>
      <c r="AC359" s="56" t="s">
        <v>580</v>
      </c>
      <c r="AD359" s="34">
        <v>0</v>
      </c>
      <c r="AE359" s="34">
        <v>0</v>
      </c>
      <c r="AF359" s="35">
        <v>0</v>
      </c>
      <c r="AG359" s="36" t="s">
        <v>1862</v>
      </c>
      <c r="AH359" s="63">
        <v>2025</v>
      </c>
    </row>
    <row r="360" spans="1:34" ht="43.5" x14ac:dyDescent="0.35">
      <c r="A360" s="55" t="s">
        <v>330</v>
      </c>
      <c r="B360" s="2" t="s">
        <v>310</v>
      </c>
      <c r="C360" s="30" t="s">
        <v>27</v>
      </c>
      <c r="D360" s="2" t="s">
        <v>313</v>
      </c>
      <c r="E360" s="96" t="s">
        <v>1791</v>
      </c>
      <c r="F360" s="70">
        <v>45916</v>
      </c>
      <c r="G360" s="30" t="s">
        <v>113</v>
      </c>
      <c r="H360" s="94" t="s">
        <v>1794</v>
      </c>
      <c r="I360" s="111">
        <v>46179792</v>
      </c>
      <c r="J360" s="101">
        <v>8774160</v>
      </c>
      <c r="K360" s="47">
        <v>54953952</v>
      </c>
      <c r="L360" s="77" t="s">
        <v>84</v>
      </c>
      <c r="M360" s="54">
        <v>800226923</v>
      </c>
      <c r="N360" s="30" t="s">
        <v>114</v>
      </c>
      <c r="O360" s="2" t="s">
        <v>743</v>
      </c>
      <c r="P360" s="73" t="s">
        <v>318</v>
      </c>
      <c r="Q360" s="3"/>
      <c r="R360" s="32">
        <f>+Tabla1513[[#This Row],[VALOR INICIAL DEL CONTRATO CON IVA]]+Tabla1513[[#This Row],[VALOR DE LAS ADICIONES CON IVA]]</f>
        <v>54953952</v>
      </c>
      <c r="S360" s="48">
        <f>+Tabla1513[[#This Row],[FECHA TERMINACIÓN INICIAL CONTRATO]]-Tabla1513[[#This Row],[FECHA INICIO CONTRATO]]</f>
        <v>14</v>
      </c>
      <c r="T360" s="24" t="s">
        <v>318</v>
      </c>
      <c r="U360" s="4"/>
      <c r="V360" s="24" t="s">
        <v>318</v>
      </c>
      <c r="W360" s="70">
        <v>45916</v>
      </c>
      <c r="X360" s="70">
        <v>45930</v>
      </c>
      <c r="Y360" s="70">
        <v>45930</v>
      </c>
      <c r="Z360" s="72" t="s">
        <v>405</v>
      </c>
      <c r="AA360" s="60"/>
      <c r="AB360" s="56" t="s">
        <v>406</v>
      </c>
      <c r="AC360" s="56" t="s">
        <v>1520</v>
      </c>
      <c r="AD360" s="34">
        <v>1</v>
      </c>
      <c r="AE360" s="34">
        <v>1</v>
      </c>
      <c r="AF360" s="35"/>
      <c r="AG360" s="36" t="s">
        <v>1863</v>
      </c>
      <c r="AH360" s="63">
        <v>2025</v>
      </c>
    </row>
    <row r="361" spans="1:34" ht="43.5" x14ac:dyDescent="0.35">
      <c r="A361" s="55" t="s">
        <v>330</v>
      </c>
      <c r="B361" s="2" t="s">
        <v>31</v>
      </c>
      <c r="C361" s="30" t="s">
        <v>912</v>
      </c>
      <c r="D361" s="2" t="s">
        <v>412</v>
      </c>
      <c r="E361" s="96" t="s">
        <v>1795</v>
      </c>
      <c r="F361" s="70">
        <v>45916</v>
      </c>
      <c r="G361" s="30" t="s">
        <v>150</v>
      </c>
      <c r="H361" s="94" t="s">
        <v>1796</v>
      </c>
      <c r="I361" s="111">
        <v>24901032797</v>
      </c>
      <c r="J361" s="101">
        <v>5840983002</v>
      </c>
      <c r="K361" s="47">
        <v>30742015799</v>
      </c>
      <c r="L361" s="77" t="s">
        <v>84</v>
      </c>
      <c r="M361" s="54">
        <v>900249043</v>
      </c>
      <c r="N361" s="30" t="s">
        <v>91</v>
      </c>
      <c r="O361" s="2" t="s">
        <v>1797</v>
      </c>
      <c r="P361" s="73" t="s">
        <v>318</v>
      </c>
      <c r="Q361" s="3"/>
      <c r="R361" s="32">
        <f>+Tabla1513[[#This Row],[VALOR INICIAL DEL CONTRATO CON IVA]]+Tabla1513[[#This Row],[VALOR DE LAS ADICIONES CON IVA]]</f>
        <v>30742015799</v>
      </c>
      <c r="S361" s="48">
        <f>+Tabla1513[[#This Row],[FECHA TERMINACIÓN INICIAL CONTRATO]]-Tabla1513[[#This Row],[FECHA INICIO CONTRATO]]</f>
        <v>1156</v>
      </c>
      <c r="T361" s="24" t="s">
        <v>318</v>
      </c>
      <c r="U361" s="4"/>
      <c r="V361" s="24" t="s">
        <v>318</v>
      </c>
      <c r="W361" s="70">
        <v>45931</v>
      </c>
      <c r="X361" s="70">
        <v>47087</v>
      </c>
      <c r="Y361" s="70">
        <v>47087</v>
      </c>
      <c r="Z361" s="72" t="s">
        <v>319</v>
      </c>
      <c r="AA361" s="60"/>
      <c r="AB361" s="60"/>
      <c r="AC361" s="56" t="s">
        <v>1845</v>
      </c>
      <c r="AD361" s="34">
        <v>1.2999999999999999E-2</v>
      </c>
      <c r="AE361" s="34">
        <v>0</v>
      </c>
      <c r="AF361" s="35">
        <v>0</v>
      </c>
      <c r="AG361" s="36" t="s">
        <v>1864</v>
      </c>
      <c r="AH361" s="63">
        <v>2025</v>
      </c>
    </row>
    <row r="362" spans="1:34" ht="43.5" x14ac:dyDescent="0.35">
      <c r="A362" s="55" t="s">
        <v>330</v>
      </c>
      <c r="B362" s="2" t="s">
        <v>11</v>
      </c>
      <c r="C362" s="30" t="s">
        <v>20</v>
      </c>
      <c r="D362" s="2" t="s">
        <v>313</v>
      </c>
      <c r="E362" s="96" t="s">
        <v>1801</v>
      </c>
      <c r="F362" s="70">
        <v>45925</v>
      </c>
      <c r="G362" s="30" t="s">
        <v>150</v>
      </c>
      <c r="H362" s="94" t="s">
        <v>1802</v>
      </c>
      <c r="I362" s="111">
        <v>7033613</v>
      </c>
      <c r="J362" s="101">
        <v>1336387</v>
      </c>
      <c r="K362" s="47">
        <v>8370000</v>
      </c>
      <c r="L362" s="77" t="s">
        <v>84</v>
      </c>
      <c r="M362" s="54">
        <v>830085726</v>
      </c>
      <c r="N362" s="30" t="s">
        <v>108</v>
      </c>
      <c r="O362" s="2" t="s">
        <v>1803</v>
      </c>
      <c r="P362" s="73" t="s">
        <v>318</v>
      </c>
      <c r="Q362" s="3"/>
      <c r="R362" s="32">
        <f>+Tabla1513[[#This Row],[VALOR INICIAL DEL CONTRATO CON IVA]]+Tabla1513[[#This Row],[VALOR DE LAS ADICIONES CON IVA]]</f>
        <v>8370000</v>
      </c>
      <c r="S362" s="48">
        <f>+Tabla1513[[#This Row],[FECHA TERMINACIÓN INICIAL CONTRATO]]-Tabla1513[[#This Row],[FECHA INICIO CONTRATO]]</f>
        <v>1</v>
      </c>
      <c r="T362" s="24" t="s">
        <v>318</v>
      </c>
      <c r="U362" s="4"/>
      <c r="V362" s="24" t="s">
        <v>318</v>
      </c>
      <c r="W362" s="70">
        <v>45926</v>
      </c>
      <c r="X362" s="70">
        <v>45927</v>
      </c>
      <c r="Y362" s="70">
        <v>45927</v>
      </c>
      <c r="Z362" s="72" t="s">
        <v>405</v>
      </c>
      <c r="AA362" s="60"/>
      <c r="AB362" s="60" t="s">
        <v>406</v>
      </c>
      <c r="AC362" s="56" t="s">
        <v>770</v>
      </c>
      <c r="AD362" s="34">
        <v>1</v>
      </c>
      <c r="AE362" s="34">
        <v>1</v>
      </c>
      <c r="AF362" s="35">
        <v>0</v>
      </c>
      <c r="AG362" s="36" t="s">
        <v>1865</v>
      </c>
      <c r="AH362" s="63">
        <v>2025</v>
      </c>
    </row>
    <row r="363" spans="1:34" ht="33" customHeight="1" x14ac:dyDescent="0.35">
      <c r="A363" s="55" t="s">
        <v>330</v>
      </c>
      <c r="B363" s="2" t="s">
        <v>4</v>
      </c>
      <c r="C363" s="30" t="s">
        <v>7</v>
      </c>
      <c r="D363" s="2" t="s">
        <v>412</v>
      </c>
      <c r="E363" s="96" t="s">
        <v>1804</v>
      </c>
      <c r="F363" s="70">
        <v>45926</v>
      </c>
      <c r="G363" s="30" t="s">
        <v>150</v>
      </c>
      <c r="H363" s="94" t="s">
        <v>1805</v>
      </c>
      <c r="I363" s="111">
        <v>6021143486</v>
      </c>
      <c r="J363" s="101">
        <v>1144017262</v>
      </c>
      <c r="K363" s="47">
        <v>7165160749</v>
      </c>
      <c r="L363" s="77" t="s">
        <v>84</v>
      </c>
      <c r="M363" s="54">
        <v>860036884</v>
      </c>
      <c r="N363" s="30" t="s">
        <v>91</v>
      </c>
      <c r="O363" s="2" t="s">
        <v>1715</v>
      </c>
      <c r="P363" s="73" t="s">
        <v>318</v>
      </c>
      <c r="Q363" s="3"/>
      <c r="R363" s="32">
        <f>+Tabla1513[[#This Row],[VALOR INICIAL DEL CONTRATO CON IVA]]+Tabla1513[[#This Row],[VALOR DE LAS ADICIONES CON IVA]]</f>
        <v>7165160749</v>
      </c>
      <c r="S363" s="48">
        <f>+Tabla1513[[#This Row],[FECHA TERMINACIÓN INICIAL CONTRATO]]-Tabla1513[[#This Row],[FECHA INICIO CONTRATO]]</f>
        <v>1095</v>
      </c>
      <c r="T363" s="24" t="s">
        <v>318</v>
      </c>
      <c r="U363" s="4"/>
      <c r="V363" s="24" t="s">
        <v>318</v>
      </c>
      <c r="W363" s="70">
        <v>45931</v>
      </c>
      <c r="X363" s="70">
        <v>47026</v>
      </c>
      <c r="Y363" s="70">
        <v>47026</v>
      </c>
      <c r="Z363" s="72" t="s">
        <v>319</v>
      </c>
      <c r="AA363" s="60"/>
      <c r="AB363" s="60"/>
      <c r="AC363" s="56" t="s">
        <v>434</v>
      </c>
      <c r="AD363" s="34">
        <v>0</v>
      </c>
      <c r="AE363" s="34">
        <v>0</v>
      </c>
      <c r="AF363" s="35">
        <v>0</v>
      </c>
      <c r="AG363" s="36" t="s">
        <v>1866</v>
      </c>
      <c r="AH363" s="63">
        <v>2025</v>
      </c>
    </row>
    <row r="364" spans="1:34" ht="19.5" customHeight="1" x14ac:dyDescent="0.35">
      <c r="A364" s="28">
        <f>SUBTOTAL(103,Tabla1513[CM / SUC.])</f>
        <v>361</v>
      </c>
      <c r="B364" s="28">
        <f>SUBTOTAL(103,Tabla1513[VICEPRESIDENCIA])</f>
        <v>361</v>
      </c>
      <c r="C364" s="28">
        <f>SUBTOTAL(103,Tabla1513[[ÁREA QUE CONTRATA ]])</f>
        <v>361</v>
      </c>
      <c r="D364" s="28">
        <f>SUBTOTAL(103,Tabla1513[MODALIDAD CONTRATACIÓN])</f>
        <v>361</v>
      </c>
      <c r="E364" s="28">
        <f>SUBTOTAL(103,Tabla1513[NÚMERO DE CONTRATO])</f>
        <v>361</v>
      </c>
      <c r="F364" s="28">
        <f>SUBTOTAL(103,Tabla1513[FECHA SUSCRIPCIÓN CONTRATO])</f>
        <v>361</v>
      </c>
      <c r="G364" s="28">
        <f>SUBTOTAL(103,Tabla1513[CLASE DE CONTRATO])</f>
        <v>361</v>
      </c>
      <c r="H364" s="95">
        <f>SUBTOTAL(103,Tabla1513[OBJETO DEL CONTRATO])</f>
        <v>361</v>
      </c>
      <c r="I364" s="29">
        <f>SUBTOTAL(109,Tabla1513[VALOR INICIAL DEL CONTRATO
SIN IVA
 (en pesos) ])</f>
        <v>395319673365.1582</v>
      </c>
      <c r="J364" s="29">
        <f>SUBTOTAL(109,Tabla1513[VALOR IVA
(SI APLICA)])</f>
        <v>59970240187.807716</v>
      </c>
      <c r="K364" s="29">
        <f>SUBTOTAL(109,Tabla1513[VALOR INICIAL DEL CONTRATO CON IVA])</f>
        <v>455289913600.19</v>
      </c>
      <c r="L364" s="28">
        <f>SUBTOTAL(103,Tabla1513[TIPO DE IDENTIFICACIÓN CONTRATISTA])</f>
        <v>361</v>
      </c>
      <c r="M364" s="28">
        <f>SUBTOTAL(103,Tabla1513[NÚMERO IDENTIFICACIÓN])</f>
        <v>361</v>
      </c>
      <c r="N364" s="28">
        <f>SUBTOTAL(103,Tabla1513[CONTRATISTA: DÍGITO DE VERIFICACIÓN (NIT o RUT) ])</f>
        <v>299</v>
      </c>
      <c r="O364" s="28">
        <f>SUBTOTAL(103,Tabla1513[NOMBRE / RAZÓN SOCIAL DEL CONTRATISTA])</f>
        <v>361</v>
      </c>
      <c r="P364" s="28">
        <f>SUBTOTAL(103,Tabla1513[ADICIONES
(SI / NO)])</f>
        <v>361</v>
      </c>
      <c r="Q364" s="29">
        <f>SUBTOTAL(109,Tabla1513[VALOR DE LAS ADICIONES CON IVA])</f>
        <v>89096784685</v>
      </c>
      <c r="R364" s="29">
        <f>SUBTOTAL(109,Tabla1513[VALOR TOTAL DEL CONTRATO CON IVA (VALOR INICIAL + ADICIONES) ])</f>
        <v>544386698285.19</v>
      </c>
      <c r="S364" s="28">
        <f>SUBTOTAL(103,Tabla1513[PLAZO DEL CONTRATO (inicial)
(días)])</f>
        <v>361</v>
      </c>
      <c r="T364" s="28">
        <f>SUBTOTAL(103,Tabla1513[PRÓRROGA
(SI / NO)])</f>
        <v>361</v>
      </c>
      <c r="U364" s="28">
        <f>SUBTOTAL(103,Tabla1513[ADICIONES: NÚMERO DE DÍAS])</f>
        <v>49</v>
      </c>
      <c r="V364" s="28">
        <f>SUBTOTAL(103,Tabla1513[SUSPENSIÓN (SI/NO)])</f>
        <v>361</v>
      </c>
      <c r="W364" s="28">
        <f>SUBTOTAL(103,Tabla1513[FECHA INICIO CONTRATO])</f>
        <v>361</v>
      </c>
      <c r="X364" s="28">
        <f>SUBTOTAL(103,Tabla1513[FECHA TERMINACIÓN INICIAL CONTRATO])</f>
        <v>361</v>
      </c>
      <c r="Y364" s="28">
        <f>SUBTOTAL(103,Tabla1513[FECHA FINAL DEL CONTRATO])</f>
        <v>361</v>
      </c>
      <c r="Z364" s="28">
        <f>SUBTOTAL(103,Tabla1513[ESTADO DEL CONTRATO (EN EJECUCIÓN EN LIQUIDACIÓN POR LIQUIDAR NO SE LIQUIDA)])</f>
        <v>361</v>
      </c>
      <c r="AA364" s="28">
        <f>SUBTOTAL(103,Tabla1513[FECHA LIQUIDACIÓN DEL CONTRATO])</f>
        <v>9</v>
      </c>
      <c r="AB364" s="28">
        <f>SUBTOTAL(103,Tabla1513[CAUSAL DE TERMINACIÓN])</f>
        <v>47</v>
      </c>
      <c r="AC364" s="28">
        <f>SUBTOTAL(103,Tabla1513[RUBRO PRESUPUESTAL ASIGADO (SEPARAR CADA RUBRO CON ("/")])</f>
        <v>361</v>
      </c>
      <c r="AD364" s="28">
        <f>SUBTOTAL(103,Tabla1513[PORCENTAJE DE EJECUCIÓN FÍSICA 2025])</f>
        <v>171</v>
      </c>
      <c r="AE364" s="28">
        <f>SUBTOTAL(103,Tabla1513[PORCENTAJE DE EJECUCIÓN PRESUPUESTAL])</f>
        <v>170</v>
      </c>
      <c r="AF364" s="29">
        <f>SUBTOTAL(109,Tabla1513[VALOR PAGADO (EN PESOS)])</f>
        <v>150861334812.86398</v>
      </c>
      <c r="AG364" s="28">
        <f>SUBTOTAL(103,Tabla1513[LINK SECOP I, II 
(SEGÚN APLIQUE)])</f>
        <v>330</v>
      </c>
      <c r="AH364" s="28">
        <f>SUBTOTAL(103,Tabla1513[AÑO SUSCRIPCIÓN])</f>
        <v>361</v>
      </c>
    </row>
    <row r="365" spans="1:34" x14ac:dyDescent="0.35">
      <c r="A365" s="30"/>
      <c r="B365" s="30"/>
      <c r="C365" s="30"/>
      <c r="D365" s="30"/>
      <c r="E365" s="30"/>
      <c r="F365" s="30"/>
      <c r="G365" s="30"/>
      <c r="H365" s="38"/>
      <c r="I365" s="32"/>
      <c r="J365" s="46"/>
      <c r="K365" s="32"/>
      <c r="L365" s="30"/>
      <c r="M365" s="30"/>
      <c r="N365" s="30"/>
      <c r="O365" s="32"/>
      <c r="P365" s="32"/>
      <c r="Q365" s="32"/>
      <c r="R365" s="32"/>
      <c r="S365" s="30"/>
      <c r="T365" s="30"/>
      <c r="U365" s="30"/>
      <c r="V365" s="30"/>
      <c r="W365" s="30"/>
      <c r="X365" s="30"/>
      <c r="Y365" s="30"/>
      <c r="Z365" s="50"/>
      <c r="AA365" s="50"/>
      <c r="AB365" s="50"/>
      <c r="AC365" s="51"/>
      <c r="AD365" s="49"/>
      <c r="AE365" s="30"/>
      <c r="AF365" s="30"/>
      <c r="AG365" s="30"/>
      <c r="AH365" s="66"/>
    </row>
    <row r="366" spans="1:34" x14ac:dyDescent="0.35">
      <c r="J366" s="46"/>
    </row>
  </sheetData>
  <sheetProtection autoFilter="0"/>
  <protectedRanges>
    <protectedRange sqref="G3:G5 G66:G69 H60 K35:K38 E35:F60 G320 G26:G27 G346:G348 C20 H45:J46 G276 G194 G206 G233 G237 G243 C18 G352:G363 C35:C60 G317 G322 G285 G177 G184 G261 G340:G341 G231 Q35:Q60 G179 C133 C93 K47:K60 M35:O60 H41:J41 H40 H35:H37 H44 G32 H42 G150 H43:J43 G38:J39 G166 K40 K42:K44 G265 H272 G170:G171 G8:G10 G289 G296 G299 G305 G148 G59:H59 W35:Y60 H47:H58" name="Rango1"/>
  </protectedRanges>
  <phoneticPr fontId="8" type="noConversion"/>
  <conditionalFormatting sqref="A1">
    <cfRule type="containsText" dxfId="53" priority="1" operator="containsText" text="Faltan menos de 15 días para Terminar">
      <formula>NOT(ISERROR(SEARCH("Faltan menos de 15 días para Terminar",A1)))</formula>
    </cfRule>
    <cfRule type="containsText" dxfId="52" priority="2" operator="containsText" text="Faltan menos de 15 días para Terminar">
      <formula>NOT(ISERROR(SEARCH("Faltan menos de 15 días para Terminar",A1)))</formula>
    </cfRule>
    <cfRule type="containsText" dxfId="51" priority="3" operator="containsText" text="Terminado">
      <formula>NOT(ISERROR(SEARCH("Terminado",A1)))</formula>
    </cfRule>
    <cfRule type="containsText" dxfId="50" priority="4" operator="containsText" text="Faltan menos de 15 días para Terminar">
      <formula>NOT(ISERROR(SEARCH("Faltan menos de 15 días para Terminar",A1)))</formula>
    </cfRule>
    <cfRule type="containsText" dxfId="49" priority="5" operator="containsText" text="Faltan menos de 30 días para Terminar">
      <formula>NOT(ISERROR(SEARCH("Faltan menos de 30 días para Terminar",A1)))</formula>
    </cfRule>
    <cfRule type="containsText" dxfId="48" priority="6" operator="containsText" text="Faltan menos de 30 días para Terminar">
      <formula>NOT(ISERROR(SEARCH("Faltan menos de 30 días para Terminar",A1)))</formula>
    </cfRule>
  </conditionalFormatting>
  <dataValidations count="7">
    <dataValidation type="list" allowBlank="1" showInputMessage="1" showErrorMessage="1" sqref="D6:D17 D3:D4 D19:D80" xr:uid="{C3AB675F-9520-4D84-B6DF-1876D6A9A5FE}">
      <formula1>"ACEPTACIÓN DE OFERTA, INVITACIÓN ABIERTA, INVITACIÓN CERRADA, INVITACIÓN DIRECTA"</formula1>
    </dataValidation>
    <dataValidation type="list" allowBlank="1" showInputMessage="1" showErrorMessage="1" sqref="D5 D279:D363 D18 D81:D276" xr:uid="{113F30F3-60B2-4649-AF7D-36D9A5783AF0}">
      <formula1>"SIMPLIFICADA, INVITACIÓN ABIERTA, INVITACIÓN CERRADA, INVITACIÓN DIRECTA,CONTRATACIÓN DIRECTA, ACUERDO MARCO"</formula1>
    </dataValidation>
    <dataValidation type="list" allowBlank="1" showInputMessage="1" showErrorMessage="1" sqref="V10 V14 V16 V54 V63 V65 V29:V32 V21:V27 V67:V69 V34:V35 V37:V48 V118:V363 V71:V90 T3:T363 P3:P363 V92:V116" xr:uid="{C40F40FB-52DE-40AA-95A9-7F7C3FA486A9}">
      <formula1>"SI, NO"</formula1>
    </dataValidation>
    <dataValidation type="list" allowBlank="1" showInputMessage="1" showErrorMessage="1" sqref="D320" xr:uid="{D2C172A9-17B0-4864-BE86-577579D2F876}">
      <formula1>"SIMPLIFICADA, INVITACIÓN ABIERTA, INVITACIÓN CERRADA, INVITACIÓN DIRECTA,CONTRATACIÓN DIRECTA,ACUERDO MARCO"</formula1>
    </dataValidation>
    <dataValidation type="list" allowBlank="1" showInputMessage="1" showErrorMessage="1" sqref="AC362:AC363 Z3:Z363" xr:uid="{CA48A4CD-8A11-497F-9128-F589867F24FC}">
      <formula1>"En ejecución, Finalizado, En Liquidación, Liquidado, Por Liquidar,No se Liquida"</formula1>
    </dataValidation>
    <dataValidation type="list" allowBlank="1" showInputMessage="1" showErrorMessage="1" sqref="B3:B363" xr:uid="{F4F307A8-D07C-499B-AEED-BB5B95B6F470}">
      <formula1>"Presidencia_, Secretaría_General, Vicepresidencia_Comercial, Vicepresidencia_Desarrollo_Corporativo, Vicepresidencia_Financiera, Vicepresidencia_De_Indemnizaciones,Vicepresidencia_Jurídica,Vicepresidencia_Técnica"</formula1>
    </dataValidation>
    <dataValidation type="list" allowBlank="1" showInputMessage="1" showErrorMessage="1" sqref="A2:A363" xr:uid="{DDC2DB98-9B7A-4DCF-A2B0-1DB36864183F}">
      <formula1>"Casa Matriz, Sucursal"</formula1>
    </dataValidation>
  </dataValidations>
  <hyperlinks>
    <hyperlink ref="AG124" r:id="rId1" xr:uid="{1EB068FF-F5A1-447F-8B39-7CBEA0782023}"/>
  </hyperlinks>
  <pageMargins left="0.51181102362204722" right="0.51181102362204722" top="0.74803149606299213" bottom="0.74803149606299213" header="0.31496062992125984" footer="0.31496062992125984"/>
  <pageSetup scale="90" orientation="landscape" r:id="rId2"/>
  <headerFooter>
    <oddFooter>&amp;C_x000D_&amp;1#&amp;"Calibri"&amp;10&amp;K000000 DOCUMENTO DE USO INTERNO</oddFooter>
  </headerFooter>
  <ignoredErrors>
    <ignoredError sqref="A2:B2 U2 L2 S2 AI2:XFD2 D2 N2 AC362:AC363" listDataValidation="1"/>
    <ignoredError sqref="Q3 Q25 Q20" unlockedFormula="1"/>
  </ignoredErrors>
  <drawing r:id="rId3"/>
  <legacyDrawing r:id="rId4"/>
  <tableParts count="1">
    <tablePart r:id="rId5"/>
  </tableParts>
  <extLst>
    <ext xmlns:x14="http://schemas.microsoft.com/office/spreadsheetml/2009/9/main" uri="{CCE6A557-97BC-4b89-ADB6-D9C93CAAB3DF}">
      <x14:dataValidations xmlns:xm="http://schemas.microsoft.com/office/excel/2006/main" count="3">
        <x14:dataValidation type="list" allowBlank="1" showInputMessage="1" showErrorMessage="1" xr:uid="{D6551721-AB6F-4C91-B56B-93EE22A87000}">
          <x14:formula1>
            <xm:f>Hoja1!$E$72:$E$82</xm:f>
          </x14:formula1>
          <xm:sqref>M365 N170:N212 N230 N239:N240 N283 N2:N146</xm:sqref>
        </x14:dataValidation>
        <x14:dataValidation type="list" allowBlank="1" showInputMessage="1" showErrorMessage="1" xr:uid="{6FDB58A9-B4EA-4644-86D7-F98259C822A8}">
          <x14:formula1>
            <xm:f>Referencias!$A$1:$A$30</xm:f>
          </x14:formula1>
          <xm:sqref>G171:G230 G232:G236 G238:G363 G3:G21 G23:G38 G40:G58 G122:G169 G105:G120 G60:G89 G91:G103</xm:sqref>
        </x14:dataValidation>
        <x14:dataValidation type="list" allowBlank="1" showInputMessage="1" showErrorMessage="1" xr:uid="{FAF404D3-DCE9-406E-876D-CE0F4147C220}">
          <x14:formula1>
            <xm:f>Referencias!$C$1:$C$5</xm:f>
          </x14:formula1>
          <xm:sqref>L277:L363 L2:L275</xm:sqref>
        </x14:dataValidation>
      </x14:dataValidations>
    </ext>
    <ext xmlns:x15="http://schemas.microsoft.com/office/spreadsheetml/2010/11/main" uri="{3A4CF648-6AED-40f4-86FF-DC5316D8AED3}">
      <x14:slicerList xmlns:x14="http://schemas.microsoft.com/office/spreadsheetml/2009/9/main">
        <x14:slicer r:id="rId6"/>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75E3-4700-4AD9-B52F-2FE5D4C147C8}">
  <dimension ref="A1:AK168"/>
  <sheetViews>
    <sheetView showGridLines="0" tabSelected="1" topLeftCell="C1" zoomScale="75" zoomScaleNormal="75" workbookViewId="0">
      <selection activeCell="K2" sqref="K2"/>
    </sheetView>
  </sheetViews>
  <sheetFormatPr baseColWidth="10" defaultColWidth="14.81640625" defaultRowHeight="14.5" x14ac:dyDescent="0.35"/>
  <cols>
    <col min="1" max="1" width="12" style="2" hidden="1" customWidth="1"/>
    <col min="2" max="2" width="0" style="2" hidden="1" customWidth="1"/>
    <col min="3" max="3" width="19.90625" style="2" customWidth="1"/>
    <col min="4" max="4" width="20.26953125" style="2" customWidth="1"/>
    <col min="5" max="5" width="16.453125" style="2" customWidth="1"/>
    <col min="6" max="6" width="14.81640625" style="2" customWidth="1"/>
    <col min="7" max="7" width="26" style="2" customWidth="1"/>
    <col min="8" max="8" width="38.453125" style="2" customWidth="1"/>
    <col min="9" max="9" width="20.7265625" style="2" hidden="1" customWidth="1"/>
    <col min="10" max="10" width="17.453125" style="2" hidden="1" customWidth="1"/>
    <col min="11" max="11" width="20.7265625" style="2" customWidth="1"/>
    <col min="12" max="12" width="15.54296875" style="52" customWidth="1"/>
    <col min="13" max="13" width="17.453125" style="2" customWidth="1"/>
    <col min="14" max="14" width="14.81640625" style="2" customWidth="1"/>
    <col min="15" max="15" width="30.90625" style="2" customWidth="1"/>
    <col min="16" max="16" width="14.81640625" style="2" customWidth="1"/>
    <col min="17" max="17" width="19" style="2" customWidth="1"/>
    <col min="18" max="18" width="19.54296875" style="2" customWidth="1"/>
    <col min="19" max="23" width="14.81640625" style="2" customWidth="1"/>
    <col min="24" max="24" width="15.81640625" style="2" customWidth="1"/>
    <col min="25" max="25" width="15.54296875" style="2" customWidth="1"/>
    <col min="26" max="27" width="22.90625" style="2" customWidth="1"/>
    <col min="28" max="29" width="14.81640625" style="2" customWidth="1"/>
    <col min="30" max="30" width="26.453125" style="2" customWidth="1"/>
    <col min="31" max="31" width="21" style="45" customWidth="1"/>
    <col min="32" max="32" width="31.1796875" style="2" customWidth="1"/>
    <col min="33" max="33" width="18.81640625" style="2" customWidth="1"/>
    <col min="34" max="34" width="44.54296875" style="2" customWidth="1"/>
    <col min="35" max="38" width="14.81640625" style="2" customWidth="1"/>
    <col min="39" max="39" width="1.7265625" style="2" customWidth="1"/>
    <col min="40" max="16384" width="14.81640625" style="2"/>
  </cols>
  <sheetData>
    <row r="1" spans="1:35" ht="97" customHeight="1" thickTop="1" thickBot="1" x14ac:dyDescent="0.4">
      <c r="A1" s="133" t="s">
        <v>280</v>
      </c>
      <c r="B1" s="133" t="s">
        <v>281</v>
      </c>
      <c r="C1" s="133" t="s">
        <v>282</v>
      </c>
      <c r="D1" s="133" t="s">
        <v>283</v>
      </c>
      <c r="E1" s="133" t="s">
        <v>1868</v>
      </c>
      <c r="F1" s="133" t="s">
        <v>284</v>
      </c>
      <c r="G1" s="133" t="s">
        <v>285</v>
      </c>
      <c r="H1" s="133" t="s">
        <v>286</v>
      </c>
      <c r="I1" s="134" t="s">
        <v>1243</v>
      </c>
      <c r="J1" s="134" t="s">
        <v>287</v>
      </c>
      <c r="K1" s="134" t="s">
        <v>288</v>
      </c>
      <c r="L1" s="138" t="s">
        <v>289</v>
      </c>
      <c r="M1" s="138" t="s">
        <v>290</v>
      </c>
      <c r="N1" s="138" t="s">
        <v>291</v>
      </c>
      <c r="O1" s="138" t="s">
        <v>292</v>
      </c>
      <c r="P1" s="134" t="s">
        <v>293</v>
      </c>
      <c r="Q1" s="135" t="s">
        <v>294</v>
      </c>
      <c r="R1" s="135" t="s">
        <v>295</v>
      </c>
      <c r="S1" s="133" t="s">
        <v>296</v>
      </c>
      <c r="T1" s="133" t="s">
        <v>297</v>
      </c>
      <c r="U1" s="138" t="s">
        <v>298</v>
      </c>
      <c r="V1" s="139" t="s">
        <v>299</v>
      </c>
      <c r="W1" s="136" t="s">
        <v>300</v>
      </c>
      <c r="X1" s="136" t="s">
        <v>301</v>
      </c>
      <c r="Y1" s="136" t="s">
        <v>302</v>
      </c>
      <c r="Z1" s="137" t="s">
        <v>303</v>
      </c>
      <c r="AA1" s="154" t="s">
        <v>304</v>
      </c>
      <c r="AB1" s="139" t="s">
        <v>305</v>
      </c>
      <c r="AC1" s="139" t="s">
        <v>306</v>
      </c>
      <c r="AD1" s="140" t="s">
        <v>307</v>
      </c>
      <c r="AE1" s="141" t="s">
        <v>2393</v>
      </c>
      <c r="AF1" s="140" t="s">
        <v>2394</v>
      </c>
      <c r="AG1" s="140" t="s">
        <v>1870</v>
      </c>
      <c r="AH1" s="133" t="s">
        <v>1871</v>
      </c>
    </row>
    <row r="2" spans="1:35" ht="34" customHeight="1" thickTop="1" x14ac:dyDescent="0.35">
      <c r="A2" s="55" t="s">
        <v>309</v>
      </c>
      <c r="B2" s="2" t="s">
        <v>310</v>
      </c>
      <c r="C2" s="30" t="s">
        <v>677</v>
      </c>
      <c r="D2" s="31" t="s">
        <v>313</v>
      </c>
      <c r="E2" s="96" t="s">
        <v>1872</v>
      </c>
      <c r="F2" s="70">
        <v>45687</v>
      </c>
      <c r="G2" s="30" t="s">
        <v>150</v>
      </c>
      <c r="H2" s="94" t="s">
        <v>1873</v>
      </c>
      <c r="I2" s="32">
        <v>26855155</v>
      </c>
      <c r="J2" s="32">
        <v>0</v>
      </c>
      <c r="K2" s="47">
        <v>26855155</v>
      </c>
      <c r="L2" s="77" t="s">
        <v>96</v>
      </c>
      <c r="M2" s="54">
        <v>26641316</v>
      </c>
      <c r="N2" s="30"/>
      <c r="O2" s="2" t="s">
        <v>1066</v>
      </c>
      <c r="P2" s="73" t="s">
        <v>318</v>
      </c>
      <c r="Q2" s="3"/>
      <c r="R2" s="32">
        <f>+Tabla15132[[#This Row],[VALOR INICIAL DEL CONTRATO CON IVA]]+Tabla15132[[#This Row],[VALOR DE LAS ADICIONES CON IVA]]</f>
        <v>26855155</v>
      </c>
      <c r="S2" s="4">
        <f>+Tabla15132[[#This Row],[FECHA TERMINACIÓN INICIAL CONTRATO]]-Tabla15132[[#This Row],[FECHA INICIO CONTRATO]]</f>
        <v>334</v>
      </c>
      <c r="T2" s="24" t="s">
        <v>318</v>
      </c>
      <c r="U2" s="58"/>
      <c r="V2" s="56" t="s">
        <v>318</v>
      </c>
      <c r="W2" s="70">
        <v>45688</v>
      </c>
      <c r="X2" s="70">
        <v>46022</v>
      </c>
      <c r="Y2" s="70">
        <v>46022</v>
      </c>
      <c r="Z2" s="65" t="str">
        <f>+Tabla15132[[#This Row],[ÁREA QUE CONTRATA ]]</f>
        <v>Sucursal Florencia</v>
      </c>
      <c r="AA2" s="72" t="s">
        <v>319</v>
      </c>
      <c r="AB2" s="60"/>
      <c r="AC2" s="60"/>
      <c r="AD2" s="56" t="s">
        <v>1052</v>
      </c>
      <c r="AE2" s="34">
        <v>0.31929999999999997</v>
      </c>
      <c r="AF2" s="34">
        <v>0.31929999999999997</v>
      </c>
      <c r="AG2" s="35">
        <v>8575625</v>
      </c>
      <c r="AH2" s="36" t="s">
        <v>1874</v>
      </c>
      <c r="AI2" s="81"/>
    </row>
    <row r="3" spans="1:35" ht="43.5" x14ac:dyDescent="0.35">
      <c r="A3" s="55" t="s">
        <v>309</v>
      </c>
      <c r="B3" s="2" t="s">
        <v>310</v>
      </c>
      <c r="C3" s="30" t="s">
        <v>353</v>
      </c>
      <c r="D3" s="31" t="s">
        <v>313</v>
      </c>
      <c r="E3" s="96" t="s">
        <v>1875</v>
      </c>
      <c r="F3" s="70">
        <v>45687</v>
      </c>
      <c r="G3" s="30" t="s">
        <v>142</v>
      </c>
      <c r="H3" s="94" t="s">
        <v>1028</v>
      </c>
      <c r="I3" s="32">
        <v>7000000</v>
      </c>
      <c r="J3" s="32">
        <v>1330000</v>
      </c>
      <c r="K3" s="47">
        <v>8330000</v>
      </c>
      <c r="L3" s="77" t="s">
        <v>84</v>
      </c>
      <c r="M3" s="54">
        <v>890930614</v>
      </c>
      <c r="N3" s="30" t="s">
        <v>91</v>
      </c>
      <c r="O3" s="2" t="s">
        <v>1876</v>
      </c>
      <c r="P3" s="73" t="s">
        <v>318</v>
      </c>
      <c r="Q3" s="3"/>
      <c r="R3" s="32">
        <f>+Tabla15132[[#This Row],[VALOR INICIAL DEL CONTRATO CON IVA]]+Tabla15132[[#This Row],[VALOR DE LAS ADICIONES CON IVA]]</f>
        <v>8330000</v>
      </c>
      <c r="S3" s="4">
        <f>+Tabla15132[[#This Row],[FECHA TERMINACIÓN INICIAL CONTRATO]]-Tabla15132[[#This Row],[FECHA INICIO CONTRATO]]</f>
        <v>335</v>
      </c>
      <c r="T3" s="24" t="s">
        <v>318</v>
      </c>
      <c r="U3" s="58"/>
      <c r="V3" s="56" t="s">
        <v>318</v>
      </c>
      <c r="W3" s="70">
        <v>45687</v>
      </c>
      <c r="X3" s="70">
        <v>46022</v>
      </c>
      <c r="Y3" s="70">
        <v>46022</v>
      </c>
      <c r="Z3" s="65" t="str">
        <f>+Tabla15132[[#This Row],[ÁREA QUE CONTRATA ]]</f>
        <v>Sucursal Medellin</v>
      </c>
      <c r="AA3" s="72" t="s">
        <v>319</v>
      </c>
      <c r="AB3" s="60"/>
      <c r="AC3" s="60"/>
      <c r="AD3" s="56" t="s">
        <v>964</v>
      </c>
      <c r="AE3" s="34">
        <v>0.57999999999999996</v>
      </c>
      <c r="AF3" s="34">
        <v>0.41</v>
      </c>
      <c r="AG3" s="35">
        <v>3398290</v>
      </c>
      <c r="AH3" s="36" t="s">
        <v>1877</v>
      </c>
    </row>
    <row r="4" spans="1:35" ht="31.5" customHeight="1" x14ac:dyDescent="0.35">
      <c r="A4" s="55" t="s">
        <v>309</v>
      </c>
      <c r="B4" s="2" t="s">
        <v>310</v>
      </c>
      <c r="C4" s="30" t="s">
        <v>1032</v>
      </c>
      <c r="D4" s="31" t="s">
        <v>313</v>
      </c>
      <c r="E4" s="96" t="s">
        <v>1878</v>
      </c>
      <c r="F4" s="70">
        <v>45698</v>
      </c>
      <c r="G4" s="30" t="s">
        <v>113</v>
      </c>
      <c r="H4" s="94" t="s">
        <v>1879</v>
      </c>
      <c r="I4" s="32">
        <v>28319025</v>
      </c>
      <c r="J4" s="32">
        <v>0</v>
      </c>
      <c r="K4" s="47">
        <v>28319025</v>
      </c>
      <c r="L4" s="77" t="s">
        <v>84</v>
      </c>
      <c r="M4" s="54">
        <v>900147698</v>
      </c>
      <c r="N4" s="30" t="s">
        <v>117</v>
      </c>
      <c r="O4" s="2" t="s">
        <v>1880</v>
      </c>
      <c r="P4" s="73" t="s">
        <v>318</v>
      </c>
      <c r="Q4" s="3"/>
      <c r="R4" s="32">
        <f>+Tabla15132[[#This Row],[VALOR INICIAL DEL CONTRATO CON IVA]]+Tabla15132[[#This Row],[VALOR DE LAS ADICIONES CON IVA]]</f>
        <v>28319025</v>
      </c>
      <c r="S4" s="4">
        <f>+Tabla15132[[#This Row],[FECHA TERMINACIÓN INICIAL CONTRATO]]-Tabla15132[[#This Row],[FECHA INICIO CONTRATO]]</f>
        <v>28</v>
      </c>
      <c r="T4" s="24" t="s">
        <v>318</v>
      </c>
      <c r="U4" s="58"/>
      <c r="V4" s="56" t="s">
        <v>318</v>
      </c>
      <c r="W4" s="70">
        <v>45702</v>
      </c>
      <c r="X4" s="70">
        <v>45730</v>
      </c>
      <c r="Y4" s="70">
        <v>45730</v>
      </c>
      <c r="Z4" s="65" t="str">
        <f>+Tabla15132[[#This Row],[ÁREA QUE CONTRATA ]]</f>
        <v>Sucursal Yopal</v>
      </c>
      <c r="AA4" s="72" t="s">
        <v>405</v>
      </c>
      <c r="AB4" s="60"/>
      <c r="AC4" s="60"/>
      <c r="AD4" s="56" t="s">
        <v>583</v>
      </c>
      <c r="AE4" s="34">
        <v>1</v>
      </c>
      <c r="AF4" s="34">
        <v>1</v>
      </c>
      <c r="AG4" s="35">
        <v>28319025</v>
      </c>
      <c r="AH4" s="36" t="s">
        <v>1881</v>
      </c>
    </row>
    <row r="5" spans="1:35" ht="72.5" x14ac:dyDescent="0.35">
      <c r="A5" s="55" t="s">
        <v>309</v>
      </c>
      <c r="B5" s="2" t="s">
        <v>310</v>
      </c>
      <c r="C5" s="30" t="s">
        <v>344</v>
      </c>
      <c r="D5" s="31" t="s">
        <v>313</v>
      </c>
      <c r="E5" s="96" t="s">
        <v>1882</v>
      </c>
      <c r="F5" s="70">
        <v>45691</v>
      </c>
      <c r="G5" s="30" t="s">
        <v>142</v>
      </c>
      <c r="H5" s="94" t="s">
        <v>1883</v>
      </c>
      <c r="I5" s="32">
        <v>8800000</v>
      </c>
      <c r="J5" s="32">
        <v>0</v>
      </c>
      <c r="K5" s="47">
        <v>8800000</v>
      </c>
      <c r="L5" s="77" t="s">
        <v>96</v>
      </c>
      <c r="M5" s="54">
        <v>5348893</v>
      </c>
      <c r="N5" s="30"/>
      <c r="O5" s="2" t="s">
        <v>1884</v>
      </c>
      <c r="P5" s="73" t="s">
        <v>318</v>
      </c>
      <c r="Q5" s="3"/>
      <c r="R5" s="32">
        <f>+Tabla15132[[#This Row],[VALOR INICIAL DEL CONTRATO CON IVA]]+Tabla15132[[#This Row],[VALOR DE LAS ADICIONES CON IVA]]</f>
        <v>8800000</v>
      </c>
      <c r="S5" s="4">
        <f>+Tabla15132[[#This Row],[FECHA TERMINACIÓN INICIAL CONTRATO]]-Tabla15132[[#This Row],[FECHA INICIO CONTRATO]]</f>
        <v>331</v>
      </c>
      <c r="T5" s="24" t="s">
        <v>318</v>
      </c>
      <c r="U5" s="58"/>
      <c r="V5" s="56" t="s">
        <v>318</v>
      </c>
      <c r="W5" s="70">
        <v>45691</v>
      </c>
      <c r="X5" s="70">
        <v>46022</v>
      </c>
      <c r="Y5" s="70">
        <v>46022</v>
      </c>
      <c r="Z5" s="65" t="str">
        <f>+Tabla15132[[#This Row],[ÁREA QUE CONTRATA ]]</f>
        <v>Sucursal Villavicencio</v>
      </c>
      <c r="AA5" s="72" t="s">
        <v>319</v>
      </c>
      <c r="AB5" s="60"/>
      <c r="AC5" s="60"/>
      <c r="AD5" s="56" t="s">
        <v>1885</v>
      </c>
      <c r="AE5" s="34">
        <v>0.75</v>
      </c>
      <c r="AF5" s="34">
        <v>0.25</v>
      </c>
      <c r="AG5" s="35">
        <v>6600000</v>
      </c>
      <c r="AH5" s="36" t="s">
        <v>1886</v>
      </c>
    </row>
    <row r="6" spans="1:35" ht="122.5" customHeight="1" x14ac:dyDescent="0.35">
      <c r="A6" s="55" t="s">
        <v>309</v>
      </c>
      <c r="B6" s="2" t="s">
        <v>310</v>
      </c>
      <c r="C6" s="30" t="s">
        <v>677</v>
      </c>
      <c r="D6" s="31" t="s">
        <v>714</v>
      </c>
      <c r="E6" s="96" t="s">
        <v>1887</v>
      </c>
      <c r="F6" s="70">
        <v>45688</v>
      </c>
      <c r="G6" s="30" t="s">
        <v>142</v>
      </c>
      <c r="H6" s="94" t="s">
        <v>1888</v>
      </c>
      <c r="I6" s="32">
        <v>3911000</v>
      </c>
      <c r="J6" s="32">
        <v>743090</v>
      </c>
      <c r="K6" s="47">
        <v>4654090</v>
      </c>
      <c r="L6" s="77" t="s">
        <v>84</v>
      </c>
      <c r="M6" s="54">
        <v>800120677</v>
      </c>
      <c r="N6" s="30" t="s">
        <v>97</v>
      </c>
      <c r="O6" s="2" t="s">
        <v>1889</v>
      </c>
      <c r="P6" s="73" t="s">
        <v>318</v>
      </c>
      <c r="Q6" s="3"/>
      <c r="R6" s="32">
        <f>+Tabla15132[[#This Row],[VALOR INICIAL DEL CONTRATO CON IVA]]+Tabla15132[[#This Row],[VALOR DE LAS ADICIONES CON IVA]]</f>
        <v>4654090</v>
      </c>
      <c r="S6" s="4">
        <f>+Tabla15132[[#This Row],[FECHA TERMINACIÓN INICIAL CONTRATO]]-Tabla15132[[#This Row],[FECHA INICIO CONTRATO]]</f>
        <v>329</v>
      </c>
      <c r="T6" s="24" t="s">
        <v>318</v>
      </c>
      <c r="U6" s="58"/>
      <c r="V6" s="56" t="s">
        <v>318</v>
      </c>
      <c r="W6" s="70">
        <v>45693</v>
      </c>
      <c r="X6" s="70">
        <v>46022</v>
      </c>
      <c r="Y6" s="70">
        <v>46022</v>
      </c>
      <c r="Z6" s="65" t="str">
        <f>+Tabla15132[[#This Row],[ÁREA QUE CONTRATA ]]</f>
        <v>Sucursal Florencia</v>
      </c>
      <c r="AA6" s="72" t="s">
        <v>319</v>
      </c>
      <c r="AB6" s="60"/>
      <c r="AC6" s="60"/>
      <c r="AD6" s="56" t="s">
        <v>1885</v>
      </c>
      <c r="AE6" s="34">
        <v>0.51090000000000002</v>
      </c>
      <c r="AF6" s="34">
        <v>0.51090000000000002</v>
      </c>
      <c r="AG6" s="35">
        <v>2377620</v>
      </c>
      <c r="AH6" s="36" t="s">
        <v>1890</v>
      </c>
    </row>
    <row r="7" spans="1:35" ht="29" x14ac:dyDescent="0.35">
      <c r="A7" s="55" t="s">
        <v>309</v>
      </c>
      <c r="B7" s="2" t="s">
        <v>310</v>
      </c>
      <c r="C7" s="2" t="s">
        <v>321</v>
      </c>
      <c r="D7" s="31" t="s">
        <v>714</v>
      </c>
      <c r="E7" s="96" t="s">
        <v>1891</v>
      </c>
      <c r="F7" s="70">
        <v>45688</v>
      </c>
      <c r="G7" s="30" t="s">
        <v>88</v>
      </c>
      <c r="H7" s="94" t="s">
        <v>1892</v>
      </c>
      <c r="I7" s="32">
        <v>1650000</v>
      </c>
      <c r="J7" s="32">
        <v>0</v>
      </c>
      <c r="K7" s="47">
        <v>1650000</v>
      </c>
      <c r="L7" s="77" t="s">
        <v>96</v>
      </c>
      <c r="M7" s="54">
        <v>38245839</v>
      </c>
      <c r="N7" s="30"/>
      <c r="O7" s="2" t="s">
        <v>1893</v>
      </c>
      <c r="P7" s="73" t="s">
        <v>318</v>
      </c>
      <c r="Q7" s="3"/>
      <c r="R7" s="32">
        <f>+Tabla15132[[#This Row],[VALOR INICIAL DEL CONTRATO CON IVA]]+Tabla15132[[#This Row],[VALOR DE LAS ADICIONES CON IVA]]</f>
        <v>1650000</v>
      </c>
      <c r="S7" s="4">
        <f>+Tabla15132[[#This Row],[FECHA TERMINACIÓN INICIAL CONTRATO]]-Tabla15132[[#This Row],[FECHA INICIO CONTRATO]]</f>
        <v>333</v>
      </c>
      <c r="T7" s="24" t="s">
        <v>318</v>
      </c>
      <c r="U7" s="58"/>
      <c r="V7" s="56" t="s">
        <v>318</v>
      </c>
      <c r="W7" s="70">
        <v>45689</v>
      </c>
      <c r="X7" s="70">
        <v>46022</v>
      </c>
      <c r="Y7" s="70">
        <v>46022</v>
      </c>
      <c r="Z7" s="65" t="str">
        <f>+Tabla15132[[#This Row],[ÁREA QUE CONTRATA ]]</f>
        <v>Sucursal Ibagué</v>
      </c>
      <c r="AA7" s="72" t="s">
        <v>319</v>
      </c>
      <c r="AB7" s="60"/>
      <c r="AC7" s="60"/>
      <c r="AD7" s="56" t="s">
        <v>1030</v>
      </c>
      <c r="AE7" s="34">
        <v>0.64</v>
      </c>
      <c r="AF7" s="34">
        <v>0.64</v>
      </c>
      <c r="AG7" s="35">
        <v>1050000</v>
      </c>
      <c r="AH7" s="36" t="s">
        <v>1894</v>
      </c>
    </row>
    <row r="8" spans="1:35" ht="29" x14ac:dyDescent="0.35">
      <c r="A8" s="55" t="s">
        <v>309</v>
      </c>
      <c r="B8" s="2" t="s">
        <v>310</v>
      </c>
      <c r="C8" s="30" t="s">
        <v>353</v>
      </c>
      <c r="D8" s="31" t="s">
        <v>313</v>
      </c>
      <c r="E8" s="96" t="s">
        <v>1895</v>
      </c>
      <c r="F8" s="70">
        <v>45688</v>
      </c>
      <c r="G8" s="30" t="s">
        <v>88</v>
      </c>
      <c r="H8" s="94" t="s">
        <v>1896</v>
      </c>
      <c r="I8" s="32">
        <v>14605993</v>
      </c>
      <c r="J8" s="32">
        <v>2775139</v>
      </c>
      <c r="K8" s="47">
        <v>17381132</v>
      </c>
      <c r="L8" s="77" t="s">
        <v>84</v>
      </c>
      <c r="M8" s="54">
        <v>811047095</v>
      </c>
      <c r="N8" s="30" t="s">
        <v>108</v>
      </c>
      <c r="O8" s="2" t="s">
        <v>1897</v>
      </c>
      <c r="P8" s="73" t="s">
        <v>318</v>
      </c>
      <c r="Q8" s="3"/>
      <c r="R8" s="32">
        <f>+Tabla15132[[#This Row],[VALOR INICIAL DEL CONTRATO CON IVA]]+Tabla15132[[#This Row],[VALOR DE LAS ADICIONES CON IVA]]</f>
        <v>17381132</v>
      </c>
      <c r="S8" s="4">
        <f>+Tabla15132[[#This Row],[FECHA TERMINACIÓN INICIAL CONTRATO]]-Tabla15132[[#This Row],[FECHA INICIO CONTRATO]]</f>
        <v>334</v>
      </c>
      <c r="T8" s="24" t="s">
        <v>318</v>
      </c>
      <c r="U8" s="58"/>
      <c r="V8" s="56" t="s">
        <v>318</v>
      </c>
      <c r="W8" s="70">
        <v>45688</v>
      </c>
      <c r="X8" s="70">
        <v>46022</v>
      </c>
      <c r="Y8" s="70">
        <v>46022</v>
      </c>
      <c r="Z8" s="65" t="str">
        <f>+Tabla15132[[#This Row],[ÁREA QUE CONTRATA ]]</f>
        <v>Sucursal Medellin</v>
      </c>
      <c r="AA8" s="72" t="s">
        <v>319</v>
      </c>
      <c r="AB8" s="60"/>
      <c r="AC8" s="60"/>
      <c r="AD8" s="56" t="s">
        <v>1030</v>
      </c>
      <c r="AE8" s="34">
        <v>0.55000000000000004</v>
      </c>
      <c r="AF8" s="34">
        <v>0.55000000000000004</v>
      </c>
      <c r="AG8" s="35">
        <v>9480621</v>
      </c>
      <c r="AH8" s="36" t="s">
        <v>1898</v>
      </c>
    </row>
    <row r="9" spans="1:35" ht="43.5" x14ac:dyDescent="0.35">
      <c r="A9" s="55" t="s">
        <v>309</v>
      </c>
      <c r="B9" s="2" t="s">
        <v>310</v>
      </c>
      <c r="C9" s="30" t="s">
        <v>389</v>
      </c>
      <c r="D9" s="31" t="s">
        <v>714</v>
      </c>
      <c r="E9" s="96" t="s">
        <v>1899</v>
      </c>
      <c r="F9" s="70">
        <v>45689</v>
      </c>
      <c r="G9" s="30" t="s">
        <v>88</v>
      </c>
      <c r="H9" s="94" t="s">
        <v>1900</v>
      </c>
      <c r="I9" s="32">
        <v>5100000</v>
      </c>
      <c r="J9" s="32">
        <v>969000</v>
      </c>
      <c r="K9" s="47">
        <v>6069000</v>
      </c>
      <c r="L9" s="77" t="s">
        <v>84</v>
      </c>
      <c r="M9" s="54">
        <v>810006362</v>
      </c>
      <c r="N9" s="30" t="s">
        <v>117</v>
      </c>
      <c r="O9" s="2" t="s">
        <v>1901</v>
      </c>
      <c r="P9" s="73" t="s">
        <v>318</v>
      </c>
      <c r="Q9" s="3"/>
      <c r="R9" s="32">
        <f>+Tabla15132[[#This Row],[VALOR INICIAL DEL CONTRATO CON IVA]]+Tabla15132[[#This Row],[VALOR DE LAS ADICIONES CON IVA]]</f>
        <v>6069000</v>
      </c>
      <c r="S9" s="4">
        <f>+Tabla15132[[#This Row],[FECHA TERMINACIÓN INICIAL CONTRATO]]-Tabla15132[[#This Row],[FECHA INICIO CONTRATO]]</f>
        <v>333</v>
      </c>
      <c r="T9" s="24" t="s">
        <v>318</v>
      </c>
      <c r="U9" s="58"/>
      <c r="V9" s="56" t="s">
        <v>318</v>
      </c>
      <c r="W9" s="70">
        <v>45689</v>
      </c>
      <c r="X9" s="70">
        <v>46022</v>
      </c>
      <c r="Y9" s="70">
        <v>46022</v>
      </c>
      <c r="Z9" s="65" t="str">
        <f>+Tabla15132[[#This Row],[ÁREA QUE CONTRATA ]]</f>
        <v>Sucursal Manizales</v>
      </c>
      <c r="AA9" s="72" t="s">
        <v>319</v>
      </c>
      <c r="AB9" s="60"/>
      <c r="AC9" s="60"/>
      <c r="AD9" s="56" t="s">
        <v>1030</v>
      </c>
      <c r="AE9" s="34">
        <v>0.27300000000000002</v>
      </c>
      <c r="AF9" s="34">
        <v>0.372</v>
      </c>
      <c r="AG9" s="35">
        <v>2258998</v>
      </c>
      <c r="AH9" s="36" t="s">
        <v>1902</v>
      </c>
    </row>
    <row r="10" spans="1:35" ht="29" x14ac:dyDescent="0.35">
      <c r="A10" s="55" t="s">
        <v>309</v>
      </c>
      <c r="B10" s="2" t="s">
        <v>310</v>
      </c>
      <c r="C10" s="30" t="s">
        <v>389</v>
      </c>
      <c r="D10" s="31" t="s">
        <v>714</v>
      </c>
      <c r="E10" s="96" t="s">
        <v>1903</v>
      </c>
      <c r="F10" s="70">
        <v>45689</v>
      </c>
      <c r="G10" s="30" t="s">
        <v>88</v>
      </c>
      <c r="H10" s="94" t="s">
        <v>1904</v>
      </c>
      <c r="I10" s="32">
        <v>3400000</v>
      </c>
      <c r="J10" s="32">
        <v>0</v>
      </c>
      <c r="K10" s="47">
        <v>3400000</v>
      </c>
      <c r="L10" s="77" t="s">
        <v>96</v>
      </c>
      <c r="M10" s="54">
        <v>10278636</v>
      </c>
      <c r="N10" s="30"/>
      <c r="O10" s="2" t="s">
        <v>1905</v>
      </c>
      <c r="P10" s="73" t="s">
        <v>318</v>
      </c>
      <c r="Q10" s="3"/>
      <c r="R10" s="32">
        <f>+Tabla15132[[#This Row],[VALOR INICIAL DEL CONTRATO CON IVA]]+Tabla15132[[#This Row],[VALOR DE LAS ADICIONES CON IVA]]</f>
        <v>3400000</v>
      </c>
      <c r="S10" s="4">
        <f>+Tabla15132[[#This Row],[FECHA TERMINACIÓN INICIAL CONTRATO]]-Tabla15132[[#This Row],[FECHA INICIO CONTRATO]]</f>
        <v>273</v>
      </c>
      <c r="T10" s="24" t="s">
        <v>318</v>
      </c>
      <c r="U10" s="58"/>
      <c r="V10" s="56" t="s">
        <v>318</v>
      </c>
      <c r="W10" s="70">
        <v>45689</v>
      </c>
      <c r="X10" s="70">
        <v>45962</v>
      </c>
      <c r="Y10" s="70">
        <v>45962</v>
      </c>
      <c r="Z10" s="65" t="str">
        <f>+Tabla15132[[#This Row],[ÁREA QUE CONTRATA ]]</f>
        <v>Sucursal Manizales</v>
      </c>
      <c r="AA10" s="72" t="s">
        <v>319</v>
      </c>
      <c r="AB10" s="60"/>
      <c r="AC10" s="60"/>
      <c r="AD10" s="56" t="s">
        <v>1030</v>
      </c>
      <c r="AE10" s="34">
        <v>0.33300000000000002</v>
      </c>
      <c r="AF10" s="34">
        <v>0.45</v>
      </c>
      <c r="AG10" s="35">
        <v>1530000</v>
      </c>
      <c r="AH10" s="36" t="s">
        <v>1906</v>
      </c>
    </row>
    <row r="11" spans="1:35" ht="43.5" x14ac:dyDescent="0.35">
      <c r="A11" s="55" t="s">
        <v>309</v>
      </c>
      <c r="B11" s="2" t="s">
        <v>310</v>
      </c>
      <c r="C11" s="30" t="s">
        <v>1031</v>
      </c>
      <c r="D11" s="31" t="s">
        <v>313</v>
      </c>
      <c r="E11" s="96" t="s">
        <v>1907</v>
      </c>
      <c r="F11" s="70">
        <v>45699</v>
      </c>
      <c r="G11" s="30" t="s">
        <v>142</v>
      </c>
      <c r="H11" s="94" t="s">
        <v>1908</v>
      </c>
      <c r="I11" s="47">
        <v>7940157</v>
      </c>
      <c r="J11" s="32">
        <v>1508630</v>
      </c>
      <c r="K11" s="47">
        <v>9448786</v>
      </c>
      <c r="L11" s="77" t="s">
        <v>84</v>
      </c>
      <c r="M11" s="54">
        <v>801001100</v>
      </c>
      <c r="N11" s="30" t="s">
        <v>123</v>
      </c>
      <c r="O11" s="2" t="s">
        <v>1909</v>
      </c>
      <c r="P11" s="73" t="s">
        <v>318</v>
      </c>
      <c r="Q11" s="3"/>
      <c r="R11" s="32">
        <f>+Tabla15132[[#This Row],[VALOR INICIAL DEL CONTRATO CON IVA]]+Tabla15132[[#This Row],[VALOR DE LAS ADICIONES CON IVA]]</f>
        <v>9448786</v>
      </c>
      <c r="S11" s="4">
        <f>+Tabla15132[[#This Row],[FECHA TERMINACIÓN INICIAL CONTRATO]]-Tabla15132[[#This Row],[FECHA INICIO CONTRATO]]</f>
        <v>322</v>
      </c>
      <c r="T11" s="24" t="s">
        <v>318</v>
      </c>
      <c r="U11" s="58"/>
      <c r="V11" s="56" t="s">
        <v>318</v>
      </c>
      <c r="W11" s="70">
        <v>45700</v>
      </c>
      <c r="X11" s="70">
        <v>46022</v>
      </c>
      <c r="Y11" s="70">
        <v>46022</v>
      </c>
      <c r="Z11" s="65" t="str">
        <f>+Tabla15132[[#This Row],[ÁREA QUE CONTRATA ]]</f>
        <v>Sucursal Armenia</v>
      </c>
      <c r="AA11" s="72" t="s">
        <v>319</v>
      </c>
      <c r="AB11" s="60"/>
      <c r="AC11" s="60"/>
      <c r="AD11" s="56" t="s">
        <v>964</v>
      </c>
      <c r="AE11" s="34">
        <v>0.45450000000000002</v>
      </c>
      <c r="AF11" s="34">
        <v>0.46839999999999998</v>
      </c>
      <c r="AG11" s="35">
        <v>4426484</v>
      </c>
      <c r="AH11" s="36" t="s">
        <v>1910</v>
      </c>
    </row>
    <row r="12" spans="1:35" ht="76.5" customHeight="1" x14ac:dyDescent="0.35">
      <c r="A12" s="55" t="s">
        <v>309</v>
      </c>
      <c r="B12" s="2" t="s">
        <v>310</v>
      </c>
      <c r="C12" s="30" t="s">
        <v>716</v>
      </c>
      <c r="D12" s="31" t="s">
        <v>313</v>
      </c>
      <c r="E12" s="96" t="s">
        <v>1911</v>
      </c>
      <c r="F12" s="70">
        <v>45687</v>
      </c>
      <c r="G12" s="30" t="s">
        <v>88</v>
      </c>
      <c r="H12" s="94" t="s">
        <v>1912</v>
      </c>
      <c r="I12" s="32">
        <v>18359042</v>
      </c>
      <c r="J12" s="32">
        <v>3488218</v>
      </c>
      <c r="K12" s="47">
        <v>21847260</v>
      </c>
      <c r="L12" s="77" t="s">
        <v>84</v>
      </c>
      <c r="M12" s="54">
        <v>900684235</v>
      </c>
      <c r="N12" s="30" t="s">
        <v>103</v>
      </c>
      <c r="O12" s="2" t="s">
        <v>1913</v>
      </c>
      <c r="P12" s="73" t="s">
        <v>318</v>
      </c>
      <c r="Q12" s="3"/>
      <c r="R12" s="32">
        <f>+Tabla15132[[#This Row],[VALOR INICIAL DEL CONTRATO CON IVA]]+Tabla15132[[#This Row],[VALOR DE LAS ADICIONES CON IVA]]</f>
        <v>21847260</v>
      </c>
      <c r="S12" s="4">
        <f>+Tabla15132[[#This Row],[FECHA TERMINACIÓN INICIAL CONTRATO]]-Tabla15132[[#This Row],[FECHA INICIO CONTRATO]]</f>
        <v>365</v>
      </c>
      <c r="T12" s="24" t="s">
        <v>318</v>
      </c>
      <c r="U12" s="58"/>
      <c r="V12" s="56" t="s">
        <v>318</v>
      </c>
      <c r="W12" s="70">
        <v>45687</v>
      </c>
      <c r="X12" s="70">
        <v>46052</v>
      </c>
      <c r="Y12" s="70">
        <v>46052</v>
      </c>
      <c r="Z12" s="65" t="str">
        <f>+Tabla15132[[#This Row],[ÁREA QUE CONTRATA ]]</f>
        <v>Sucursal Quibdo</v>
      </c>
      <c r="AA12" s="72" t="s">
        <v>319</v>
      </c>
      <c r="AB12" s="60"/>
      <c r="AC12" s="60"/>
      <c r="AD12" s="56" t="s">
        <v>320</v>
      </c>
      <c r="AE12" s="34">
        <v>0.67</v>
      </c>
      <c r="AF12" s="34">
        <v>0.67</v>
      </c>
      <c r="AG12" s="35">
        <v>14564840</v>
      </c>
      <c r="AH12" s="36" t="s">
        <v>1914</v>
      </c>
    </row>
    <row r="13" spans="1:35" ht="29" x14ac:dyDescent="0.35">
      <c r="A13" s="55" t="s">
        <v>309</v>
      </c>
      <c r="B13" s="2" t="s">
        <v>310</v>
      </c>
      <c r="C13" s="30" t="s">
        <v>341</v>
      </c>
      <c r="D13" s="31" t="s">
        <v>313</v>
      </c>
      <c r="E13" s="96" t="s">
        <v>1915</v>
      </c>
      <c r="F13" s="70">
        <v>45701</v>
      </c>
      <c r="G13" s="30" t="s">
        <v>88</v>
      </c>
      <c r="H13" s="142" t="s">
        <v>1916</v>
      </c>
      <c r="I13" s="32">
        <v>10560000</v>
      </c>
      <c r="J13" s="32">
        <v>2006400</v>
      </c>
      <c r="K13" s="47">
        <v>12566400</v>
      </c>
      <c r="L13" s="77" t="s">
        <v>96</v>
      </c>
      <c r="M13" s="54">
        <v>10113089</v>
      </c>
      <c r="N13" s="30"/>
      <c r="O13" s="2" t="s">
        <v>1027</v>
      </c>
      <c r="P13" s="73" t="s">
        <v>318</v>
      </c>
      <c r="Q13" s="3"/>
      <c r="R13" s="32">
        <f>+Tabla15132[[#This Row],[VALOR INICIAL DEL CONTRATO CON IVA]]+Tabla15132[[#This Row],[VALOR DE LAS ADICIONES CON IVA]]</f>
        <v>12566400</v>
      </c>
      <c r="S13" s="4">
        <f>+Tabla15132[[#This Row],[FECHA TERMINACIÓN INICIAL CONTRATO]]-Tabla15132[[#This Row],[FECHA INICIO CONTRATO]]</f>
        <v>305</v>
      </c>
      <c r="T13" s="24" t="s">
        <v>318</v>
      </c>
      <c r="U13" s="58"/>
      <c r="V13" s="56" t="s">
        <v>318</v>
      </c>
      <c r="W13" s="70">
        <v>45717</v>
      </c>
      <c r="X13" s="70">
        <v>46022</v>
      </c>
      <c r="Y13" s="70">
        <v>46022</v>
      </c>
      <c r="Z13" s="65" t="str">
        <f>+Tabla15132[[#This Row],[ÁREA QUE CONTRATA ]]</f>
        <v>Sucursal Pereira</v>
      </c>
      <c r="AA13" s="72" t="s">
        <v>319</v>
      </c>
      <c r="AB13" s="60"/>
      <c r="AC13" s="60"/>
      <c r="AD13" s="56" t="s">
        <v>1030</v>
      </c>
      <c r="AE13" s="34">
        <v>0.4</v>
      </c>
      <c r="AF13" s="34">
        <v>0.29170000000000001</v>
      </c>
      <c r="AG13" s="35">
        <v>3665200</v>
      </c>
      <c r="AH13" s="36" t="s">
        <v>1917</v>
      </c>
    </row>
    <row r="14" spans="1:35" ht="43.5" x14ac:dyDescent="0.35">
      <c r="A14" s="55" t="s">
        <v>309</v>
      </c>
      <c r="B14" s="2" t="s">
        <v>310</v>
      </c>
      <c r="C14" s="30" t="s">
        <v>1032</v>
      </c>
      <c r="D14" s="31" t="s">
        <v>714</v>
      </c>
      <c r="E14" s="96" t="s">
        <v>1918</v>
      </c>
      <c r="F14" s="70">
        <v>45706</v>
      </c>
      <c r="G14" s="30" t="s">
        <v>142</v>
      </c>
      <c r="H14" s="94" t="s">
        <v>1919</v>
      </c>
      <c r="I14" s="32">
        <v>4300000</v>
      </c>
      <c r="J14" s="32">
        <v>817000</v>
      </c>
      <c r="K14" s="47">
        <v>5117000</v>
      </c>
      <c r="L14" s="77" t="s">
        <v>84</v>
      </c>
      <c r="M14" s="54">
        <v>900147698</v>
      </c>
      <c r="N14" s="30" t="s">
        <v>117</v>
      </c>
      <c r="O14" s="2" t="s">
        <v>1880</v>
      </c>
      <c r="P14" s="73" t="s">
        <v>318</v>
      </c>
      <c r="Q14" s="3"/>
      <c r="R14" s="32">
        <f>+Tabla15132[[#This Row],[VALOR INICIAL DEL CONTRATO CON IVA]]+Tabla15132[[#This Row],[VALOR DE LAS ADICIONES CON IVA]]</f>
        <v>5117000</v>
      </c>
      <c r="S14" s="4">
        <f>+Tabla15132[[#This Row],[FECHA TERMINACIÓN INICIAL CONTRATO]]-Tabla15132[[#This Row],[FECHA INICIO CONTRATO]]</f>
        <v>305</v>
      </c>
      <c r="T14" s="24" t="s">
        <v>318</v>
      </c>
      <c r="U14" s="58"/>
      <c r="V14" s="56" t="s">
        <v>318</v>
      </c>
      <c r="W14" s="70">
        <v>45717</v>
      </c>
      <c r="X14" s="70">
        <v>46022</v>
      </c>
      <c r="Y14" s="70">
        <v>46022</v>
      </c>
      <c r="Z14" s="65" t="str">
        <f>+Tabla15132[[#This Row],[ÁREA QUE CONTRATA ]]</f>
        <v>Sucursal Yopal</v>
      </c>
      <c r="AA14" s="72" t="s">
        <v>319</v>
      </c>
      <c r="AB14" s="60"/>
      <c r="AC14" s="60"/>
      <c r="AD14" s="56" t="s">
        <v>964</v>
      </c>
      <c r="AE14" s="34">
        <v>0.6</v>
      </c>
      <c r="AF14" s="34">
        <v>0</v>
      </c>
      <c r="AG14" s="35">
        <v>0</v>
      </c>
      <c r="AH14" s="36" t="s">
        <v>1920</v>
      </c>
    </row>
    <row r="15" spans="1:35" ht="29" x14ac:dyDescent="0.35">
      <c r="A15" s="55" t="s">
        <v>309</v>
      </c>
      <c r="B15" s="2" t="s">
        <v>310</v>
      </c>
      <c r="C15" s="30" t="s">
        <v>311</v>
      </c>
      <c r="D15" s="31" t="s">
        <v>714</v>
      </c>
      <c r="E15" s="96" t="s">
        <v>1921</v>
      </c>
      <c r="F15" s="70">
        <v>45702</v>
      </c>
      <c r="G15" s="30" t="s">
        <v>113</v>
      </c>
      <c r="H15" s="94" t="s">
        <v>1922</v>
      </c>
      <c r="I15" s="32">
        <v>1100000</v>
      </c>
      <c r="J15" s="32">
        <v>0</v>
      </c>
      <c r="K15" s="47">
        <v>1100000</v>
      </c>
      <c r="L15" s="77" t="s">
        <v>96</v>
      </c>
      <c r="M15" s="54">
        <v>5348893</v>
      </c>
      <c r="N15" s="30"/>
      <c r="O15" s="2" t="s">
        <v>1039</v>
      </c>
      <c r="P15" s="73" t="s">
        <v>318</v>
      </c>
      <c r="Q15" s="3"/>
      <c r="R15" s="32">
        <f>+Tabla15132[[#This Row],[VALOR INICIAL DEL CONTRATO CON IVA]]+Tabla15132[[#This Row],[VALOR DE LAS ADICIONES CON IVA]]</f>
        <v>1100000</v>
      </c>
      <c r="S15" s="4">
        <f>+Tabla15132[[#This Row],[FECHA TERMINACIÓN INICIAL CONTRATO]]-Tabla15132[[#This Row],[FECHA INICIO CONTRATO]]</f>
        <v>6</v>
      </c>
      <c r="T15" s="24" t="s">
        <v>318</v>
      </c>
      <c r="U15" s="58"/>
      <c r="V15" s="56" t="s">
        <v>318</v>
      </c>
      <c r="W15" s="70">
        <v>45705</v>
      </c>
      <c r="X15" s="70">
        <v>45711</v>
      </c>
      <c r="Y15" s="70">
        <v>45711</v>
      </c>
      <c r="Z15" s="65" t="str">
        <f>+Tabla15132[[#This Row],[ÁREA QUE CONTRATA ]]</f>
        <v>Sucursal Arauca</v>
      </c>
      <c r="AA15" s="72" t="s">
        <v>405</v>
      </c>
      <c r="AB15" s="60"/>
      <c r="AC15" s="60"/>
      <c r="AD15" s="56" t="s">
        <v>800</v>
      </c>
      <c r="AE15" s="34">
        <v>1</v>
      </c>
      <c r="AF15" s="34">
        <v>1</v>
      </c>
      <c r="AG15" s="35">
        <v>1100000</v>
      </c>
      <c r="AH15" s="36" t="s">
        <v>1923</v>
      </c>
    </row>
    <row r="16" spans="1:35" ht="43.5" x14ac:dyDescent="0.35">
      <c r="A16" s="55" t="s">
        <v>309</v>
      </c>
      <c r="B16" s="2" t="s">
        <v>310</v>
      </c>
      <c r="C16" s="30" t="s">
        <v>326</v>
      </c>
      <c r="D16" s="31" t="s">
        <v>313</v>
      </c>
      <c r="E16" s="96" t="s">
        <v>1924</v>
      </c>
      <c r="F16" s="70">
        <v>45705</v>
      </c>
      <c r="G16" s="30" t="s">
        <v>142</v>
      </c>
      <c r="H16" s="94" t="s">
        <v>1925</v>
      </c>
      <c r="I16" s="32">
        <v>7526952</v>
      </c>
      <c r="J16" s="32">
        <v>0</v>
      </c>
      <c r="K16" s="47">
        <v>7526952</v>
      </c>
      <c r="L16" s="77" t="s">
        <v>96</v>
      </c>
      <c r="M16" s="54">
        <v>15026642</v>
      </c>
      <c r="N16" s="30"/>
      <c r="O16" s="2" t="s">
        <v>1926</v>
      </c>
      <c r="P16" s="73" t="s">
        <v>318</v>
      </c>
      <c r="Q16" s="3"/>
      <c r="R16" s="32">
        <f>+Tabla15132[[#This Row],[VALOR INICIAL DEL CONTRATO CON IVA]]+Tabla15132[[#This Row],[VALOR DE LAS ADICIONES CON IVA]]</f>
        <v>7526952</v>
      </c>
      <c r="S16" s="4">
        <f>+Tabla15132[[#This Row],[FECHA TERMINACIÓN INICIAL CONTRATO]]-Tabla15132[[#This Row],[FECHA INICIO CONTRATO]]</f>
        <v>317</v>
      </c>
      <c r="T16" s="24" t="s">
        <v>318</v>
      </c>
      <c r="U16" s="58"/>
      <c r="V16" s="56" t="s">
        <v>318</v>
      </c>
      <c r="W16" s="70">
        <v>45705</v>
      </c>
      <c r="X16" s="70">
        <v>46022</v>
      </c>
      <c r="Y16" s="70">
        <v>46022</v>
      </c>
      <c r="Z16" s="65" t="str">
        <f>+Tabla15132[[#This Row],[ÁREA QUE CONTRATA ]]</f>
        <v>Sucursal Monteria</v>
      </c>
      <c r="AA16" s="72" t="s">
        <v>319</v>
      </c>
      <c r="AB16" s="60"/>
      <c r="AC16" s="60"/>
      <c r="AD16" s="56" t="s">
        <v>964</v>
      </c>
      <c r="AE16" s="34">
        <v>0.16470000000000001</v>
      </c>
      <c r="AF16" s="34">
        <v>0.16470000000000001</v>
      </c>
      <c r="AG16" s="35">
        <v>1240000</v>
      </c>
      <c r="AH16" s="36" t="s">
        <v>1927</v>
      </c>
    </row>
    <row r="17" spans="1:37" ht="67.5" customHeight="1" x14ac:dyDescent="0.35">
      <c r="A17" s="55" t="s">
        <v>309</v>
      </c>
      <c r="B17" s="2" t="s">
        <v>310</v>
      </c>
      <c r="C17" s="30" t="s">
        <v>393</v>
      </c>
      <c r="D17" s="31" t="s">
        <v>313</v>
      </c>
      <c r="E17" s="96" t="s">
        <v>1928</v>
      </c>
      <c r="F17" s="70">
        <v>45707</v>
      </c>
      <c r="G17" s="30" t="s">
        <v>88</v>
      </c>
      <c r="H17" s="94" t="s">
        <v>1929</v>
      </c>
      <c r="I17" s="32">
        <v>46200000</v>
      </c>
      <c r="J17" s="32">
        <v>8778000</v>
      </c>
      <c r="K17" s="47">
        <v>54978000</v>
      </c>
      <c r="L17" s="77" t="s">
        <v>84</v>
      </c>
      <c r="M17" s="54">
        <v>800002756</v>
      </c>
      <c r="N17" s="30" t="s">
        <v>85</v>
      </c>
      <c r="O17" s="2" t="s">
        <v>1930</v>
      </c>
      <c r="P17" s="73" t="s">
        <v>318</v>
      </c>
      <c r="Q17" s="3"/>
      <c r="R17" s="32">
        <f>+Tabla15132[[#This Row],[VALOR INICIAL DEL CONTRATO CON IVA]]+Tabla15132[[#This Row],[VALOR DE LAS ADICIONES CON IVA]]</f>
        <v>54978000</v>
      </c>
      <c r="S17" s="4">
        <f>+Tabla15132[[#This Row],[FECHA TERMINACIÓN INICIAL CONTRATO]]-Tabla15132[[#This Row],[FECHA INICIO CONTRATO]]</f>
        <v>314</v>
      </c>
      <c r="T17" s="24" t="s">
        <v>318</v>
      </c>
      <c r="U17" s="58"/>
      <c r="V17" s="56" t="s">
        <v>318</v>
      </c>
      <c r="W17" s="70">
        <v>45708</v>
      </c>
      <c r="X17" s="70">
        <v>46022</v>
      </c>
      <c r="Y17" s="70">
        <v>46022</v>
      </c>
      <c r="Z17" s="65" t="str">
        <f>+Tabla15132[[#This Row],[ÁREA QUE CONTRATA ]]</f>
        <v>Sucursal Cali</v>
      </c>
      <c r="AA17" s="72" t="s">
        <v>319</v>
      </c>
      <c r="AB17" s="60"/>
      <c r="AC17" s="60"/>
      <c r="AD17" s="56" t="s">
        <v>1030</v>
      </c>
      <c r="AE17" s="34">
        <v>0.63639999999999997</v>
      </c>
      <c r="AF17" s="34">
        <v>0.38529999999999998</v>
      </c>
      <c r="AG17" s="35">
        <v>21182000</v>
      </c>
      <c r="AH17" s="36" t="s">
        <v>1931</v>
      </c>
    </row>
    <row r="18" spans="1:37" ht="43.5" x14ac:dyDescent="0.35">
      <c r="A18" s="55" t="s">
        <v>309</v>
      </c>
      <c r="B18" s="2" t="s">
        <v>310</v>
      </c>
      <c r="C18" s="30" t="s">
        <v>399</v>
      </c>
      <c r="D18" s="31" t="s">
        <v>714</v>
      </c>
      <c r="E18" s="96" t="s">
        <v>1932</v>
      </c>
      <c r="F18" s="70">
        <v>45708</v>
      </c>
      <c r="G18" s="30" t="s">
        <v>142</v>
      </c>
      <c r="H18" s="94" t="s">
        <v>1933</v>
      </c>
      <c r="I18" s="32">
        <v>3075000</v>
      </c>
      <c r="J18" s="32">
        <v>584250</v>
      </c>
      <c r="K18" s="47">
        <v>3659250</v>
      </c>
      <c r="L18" s="77" t="s">
        <v>84</v>
      </c>
      <c r="M18" s="54">
        <v>835000654</v>
      </c>
      <c r="N18" s="30" t="s">
        <v>114</v>
      </c>
      <c r="O18" s="2" t="s">
        <v>1934</v>
      </c>
      <c r="P18" s="73" t="s">
        <v>318</v>
      </c>
      <c r="Q18" s="3"/>
      <c r="R18" s="32">
        <f>+Tabla15132[[#This Row],[VALOR INICIAL DEL CONTRATO CON IVA]]+Tabla15132[[#This Row],[VALOR DE LAS ADICIONES CON IVA]]</f>
        <v>3659250</v>
      </c>
      <c r="S18" s="4">
        <f>+Tabla15132[[#This Row],[FECHA TERMINACIÓN INICIAL CONTRATO]]-Tabla15132[[#This Row],[FECHA INICIO CONTRATO]]</f>
        <v>303</v>
      </c>
      <c r="T18" s="24" t="s">
        <v>318</v>
      </c>
      <c r="U18" s="58"/>
      <c r="V18" s="56" t="s">
        <v>318</v>
      </c>
      <c r="W18" s="70">
        <v>45708</v>
      </c>
      <c r="X18" s="70">
        <v>46011</v>
      </c>
      <c r="Y18" s="70">
        <v>46011</v>
      </c>
      <c r="Z18" s="65" t="str">
        <f>+Tabla15132[[#This Row],[ÁREA QUE CONTRATA ]]</f>
        <v>Sucursal Buenaventura</v>
      </c>
      <c r="AA18" s="72" t="s">
        <v>319</v>
      </c>
      <c r="AB18" s="60"/>
      <c r="AC18" s="56"/>
      <c r="AD18" s="56" t="s">
        <v>964</v>
      </c>
      <c r="AE18" s="34">
        <v>0.74590000000000001</v>
      </c>
      <c r="AF18" s="34">
        <v>0.74590000000000001</v>
      </c>
      <c r="AG18" s="35">
        <v>11188300</v>
      </c>
      <c r="AH18" s="36" t="s">
        <v>1935</v>
      </c>
    </row>
    <row r="19" spans="1:37" ht="29" x14ac:dyDescent="0.35">
      <c r="A19" s="55" t="s">
        <v>309</v>
      </c>
      <c r="B19" s="2" t="s">
        <v>310</v>
      </c>
      <c r="C19" s="30" t="s">
        <v>349</v>
      </c>
      <c r="D19" s="31" t="s">
        <v>313</v>
      </c>
      <c r="E19" s="96" t="s">
        <v>1936</v>
      </c>
      <c r="F19" s="70">
        <v>45712</v>
      </c>
      <c r="G19" s="30" t="s">
        <v>113</v>
      </c>
      <c r="H19" s="94" t="s">
        <v>1937</v>
      </c>
      <c r="I19" s="32">
        <v>11764706</v>
      </c>
      <c r="J19" s="32">
        <v>2235294</v>
      </c>
      <c r="K19" s="47">
        <v>14000000</v>
      </c>
      <c r="L19" s="77" t="s">
        <v>84</v>
      </c>
      <c r="M19" s="54">
        <v>901343896</v>
      </c>
      <c r="N19" s="30" t="s">
        <v>97</v>
      </c>
      <c r="O19" s="2" t="s">
        <v>1938</v>
      </c>
      <c r="P19" s="73" t="s">
        <v>318</v>
      </c>
      <c r="Q19" s="3"/>
      <c r="R19" s="32">
        <f>+Tabla15132[[#This Row],[VALOR INICIAL DEL CONTRATO CON IVA]]+Tabla15132[[#This Row],[VALOR DE LAS ADICIONES CON IVA]]</f>
        <v>14000000</v>
      </c>
      <c r="S19" s="4">
        <f>+Tabla15132[[#This Row],[FECHA TERMINACIÓN INICIAL CONTRATO]]-Tabla15132[[#This Row],[FECHA INICIO CONTRATO]]</f>
        <v>15</v>
      </c>
      <c r="T19" s="24" t="s">
        <v>318</v>
      </c>
      <c r="U19" s="58"/>
      <c r="V19" s="56" t="s">
        <v>318</v>
      </c>
      <c r="W19" s="70">
        <v>45712</v>
      </c>
      <c r="X19" s="70">
        <v>45727</v>
      </c>
      <c r="Y19" s="70">
        <v>45727</v>
      </c>
      <c r="Z19" s="65" t="str">
        <f>+Tabla15132[[#This Row],[ÁREA QUE CONTRATA ]]</f>
        <v>Sucursal Cartagena</v>
      </c>
      <c r="AA19" s="72" t="s">
        <v>405</v>
      </c>
      <c r="AB19" s="60"/>
      <c r="AC19" s="60"/>
      <c r="AD19" s="56" t="s">
        <v>1062</v>
      </c>
      <c r="AE19" s="34">
        <v>1</v>
      </c>
      <c r="AF19" s="34">
        <v>1</v>
      </c>
      <c r="AG19" s="35">
        <v>14000000</v>
      </c>
      <c r="AH19" s="36" t="s">
        <v>1939</v>
      </c>
    </row>
    <row r="20" spans="1:37" ht="29" x14ac:dyDescent="0.35">
      <c r="A20" s="55" t="s">
        <v>309</v>
      </c>
      <c r="B20" s="2" t="s">
        <v>310</v>
      </c>
      <c r="C20" s="30" t="s">
        <v>399</v>
      </c>
      <c r="D20" s="31" t="s">
        <v>313</v>
      </c>
      <c r="E20" s="96" t="s">
        <v>1940</v>
      </c>
      <c r="F20" s="70">
        <v>45712</v>
      </c>
      <c r="G20" s="30" t="s">
        <v>150</v>
      </c>
      <c r="H20" s="94" t="s">
        <v>1941</v>
      </c>
      <c r="I20" s="32">
        <v>15000000</v>
      </c>
      <c r="J20" s="32">
        <v>0</v>
      </c>
      <c r="K20" s="47">
        <v>15000000</v>
      </c>
      <c r="L20" s="77" t="s">
        <v>96</v>
      </c>
      <c r="M20" s="54">
        <v>79468945</v>
      </c>
      <c r="N20" s="30"/>
      <c r="O20" s="2" t="s">
        <v>1942</v>
      </c>
      <c r="P20" s="73" t="s">
        <v>318</v>
      </c>
      <c r="Q20" s="3"/>
      <c r="R20" s="32">
        <f>+Tabla15132[[#This Row],[VALOR INICIAL DEL CONTRATO CON IVA]]+Tabla15132[[#This Row],[VALOR DE LAS ADICIONES CON IVA]]</f>
        <v>15000000</v>
      </c>
      <c r="S20" s="4">
        <f>+Tabla15132[[#This Row],[FECHA TERMINACIÓN INICIAL CONTRATO]]-Tabla15132[[#This Row],[FECHA INICIO CONTRATO]]</f>
        <v>181</v>
      </c>
      <c r="T20" s="24" t="s">
        <v>318</v>
      </c>
      <c r="U20" s="58"/>
      <c r="V20" s="56" t="s">
        <v>318</v>
      </c>
      <c r="W20" s="70">
        <v>45712</v>
      </c>
      <c r="X20" s="70">
        <v>45893</v>
      </c>
      <c r="Y20" s="70">
        <v>45893</v>
      </c>
      <c r="Z20" s="65" t="str">
        <f>+Tabla15132[[#This Row],[ÁREA QUE CONTRATA ]]</f>
        <v>Sucursal Buenaventura</v>
      </c>
      <c r="AA20" s="74" t="s">
        <v>414</v>
      </c>
      <c r="AB20" s="60"/>
      <c r="AC20" s="60"/>
      <c r="AD20" s="56" t="s">
        <v>1052</v>
      </c>
      <c r="AE20" s="34">
        <v>0.2</v>
      </c>
      <c r="AF20" s="34">
        <v>0.2</v>
      </c>
      <c r="AG20" s="35">
        <v>731850</v>
      </c>
      <c r="AH20" s="36" t="s">
        <v>1943</v>
      </c>
    </row>
    <row r="21" spans="1:37" ht="29" x14ac:dyDescent="0.35">
      <c r="A21" s="55" t="s">
        <v>309</v>
      </c>
      <c r="B21" s="2" t="s">
        <v>310</v>
      </c>
      <c r="C21" s="30" t="s">
        <v>341</v>
      </c>
      <c r="D21" s="31" t="s">
        <v>714</v>
      </c>
      <c r="E21" s="96" t="s">
        <v>1944</v>
      </c>
      <c r="F21" s="70">
        <v>45714</v>
      </c>
      <c r="G21" s="30" t="s">
        <v>88</v>
      </c>
      <c r="H21" s="142" t="s">
        <v>1945</v>
      </c>
      <c r="I21" s="32">
        <v>2016810</v>
      </c>
      <c r="J21" s="32">
        <v>383194</v>
      </c>
      <c r="K21" s="47">
        <v>2400000</v>
      </c>
      <c r="L21" s="77" t="s">
        <v>84</v>
      </c>
      <c r="M21" s="54">
        <v>901431482</v>
      </c>
      <c r="N21" s="30" t="s">
        <v>108</v>
      </c>
      <c r="O21" s="2" t="s">
        <v>1946</v>
      </c>
      <c r="P21" s="73" t="s">
        <v>318</v>
      </c>
      <c r="Q21" s="3"/>
      <c r="R21" s="32">
        <f>+Tabla15132[[#This Row],[VALOR INICIAL DEL CONTRATO CON IVA]]+Tabla15132[[#This Row],[VALOR DE LAS ADICIONES CON IVA]]</f>
        <v>2400000</v>
      </c>
      <c r="S21" s="4">
        <f>+Tabla15132[[#This Row],[FECHA TERMINACIÓN INICIAL CONTRATO]]-Tabla15132[[#This Row],[FECHA INICIO CONTRATO]]</f>
        <v>305</v>
      </c>
      <c r="T21" s="24" t="s">
        <v>318</v>
      </c>
      <c r="U21" s="58"/>
      <c r="V21" s="56" t="s">
        <v>318</v>
      </c>
      <c r="W21" s="70">
        <v>45717</v>
      </c>
      <c r="X21" s="70">
        <v>46022</v>
      </c>
      <c r="Y21" s="70">
        <v>46022</v>
      </c>
      <c r="Z21" s="65" t="str">
        <f>+Tabla15132[[#This Row],[ÁREA QUE CONTRATA ]]</f>
        <v>Sucursal Pereira</v>
      </c>
      <c r="AA21" s="72" t="s">
        <v>319</v>
      </c>
      <c r="AB21" s="60"/>
      <c r="AC21" s="60"/>
      <c r="AD21" s="56" t="s">
        <v>1030</v>
      </c>
      <c r="AE21" s="34">
        <v>0.4</v>
      </c>
      <c r="AF21" s="34">
        <v>0.4</v>
      </c>
      <c r="AG21" s="35">
        <v>960001</v>
      </c>
      <c r="AH21" s="36" t="s">
        <v>1947</v>
      </c>
    </row>
    <row r="22" spans="1:37" ht="43.5" x14ac:dyDescent="0.35">
      <c r="A22" s="55" t="s">
        <v>309</v>
      </c>
      <c r="B22" s="2" t="s">
        <v>310</v>
      </c>
      <c r="C22" s="30" t="s">
        <v>1038</v>
      </c>
      <c r="D22" s="31" t="s">
        <v>313</v>
      </c>
      <c r="E22" s="96" t="s">
        <v>1948</v>
      </c>
      <c r="F22" s="70">
        <v>45709</v>
      </c>
      <c r="G22" s="30" t="s">
        <v>142</v>
      </c>
      <c r="H22" s="94" t="s">
        <v>1949</v>
      </c>
      <c r="I22" s="32">
        <v>3600000</v>
      </c>
      <c r="J22" s="32">
        <v>0</v>
      </c>
      <c r="K22" s="47">
        <v>3600000</v>
      </c>
      <c r="L22" s="77" t="s">
        <v>96</v>
      </c>
      <c r="M22" s="54">
        <v>84096752</v>
      </c>
      <c r="N22" s="30"/>
      <c r="O22" s="2" t="s">
        <v>1950</v>
      </c>
      <c r="P22" s="73" t="s">
        <v>318</v>
      </c>
      <c r="Q22" s="3"/>
      <c r="R22" s="32">
        <f>+Tabla15132[[#This Row],[VALOR INICIAL DEL CONTRATO CON IVA]]+Tabla15132[[#This Row],[VALOR DE LAS ADICIONES CON IVA]]</f>
        <v>3600000</v>
      </c>
      <c r="S22" s="4">
        <f>+Tabla15132[[#This Row],[FECHA TERMINACIÓN INICIAL CONTRATO]]-Tabla15132[[#This Row],[FECHA INICIO CONTRATO]]</f>
        <v>303</v>
      </c>
      <c r="T22" s="24" t="s">
        <v>318</v>
      </c>
      <c r="U22" s="58"/>
      <c r="V22" s="56" t="s">
        <v>318</v>
      </c>
      <c r="W22" s="70">
        <v>45709</v>
      </c>
      <c r="X22" s="70">
        <v>46012</v>
      </c>
      <c r="Y22" s="70">
        <v>46012</v>
      </c>
      <c r="Z22" s="65" t="str">
        <f>+Tabla15132[[#This Row],[ÁREA QUE CONTRATA ]]</f>
        <v>Sucursal Riohacha</v>
      </c>
      <c r="AA22" s="72" t="s">
        <v>319</v>
      </c>
      <c r="AB22" s="60"/>
      <c r="AC22" s="60"/>
      <c r="AD22" s="56" t="s">
        <v>964</v>
      </c>
      <c r="AE22" s="34">
        <v>0.5</v>
      </c>
      <c r="AF22" s="34">
        <v>0.5</v>
      </c>
      <c r="AG22" s="35">
        <v>2040000</v>
      </c>
      <c r="AH22" s="36" t="s">
        <v>1951</v>
      </c>
    </row>
    <row r="23" spans="1:37" ht="29" x14ac:dyDescent="0.35">
      <c r="A23" s="55" t="s">
        <v>309</v>
      </c>
      <c r="B23" s="2" t="s">
        <v>310</v>
      </c>
      <c r="C23" s="30" t="s">
        <v>677</v>
      </c>
      <c r="D23" s="31" t="s">
        <v>714</v>
      </c>
      <c r="E23" s="96" t="s">
        <v>1952</v>
      </c>
      <c r="F23" s="70">
        <v>45713</v>
      </c>
      <c r="G23" s="30" t="s">
        <v>113</v>
      </c>
      <c r="H23" s="94" t="s">
        <v>1953</v>
      </c>
      <c r="I23" s="32">
        <v>1544000</v>
      </c>
      <c r="J23" s="32"/>
      <c r="K23" s="47">
        <v>1544000</v>
      </c>
      <c r="L23" s="77" t="s">
        <v>96</v>
      </c>
      <c r="M23" s="54">
        <v>5348893</v>
      </c>
      <c r="N23" s="30"/>
      <c r="O23" s="2" t="s">
        <v>1039</v>
      </c>
      <c r="P23" s="73" t="s">
        <v>318</v>
      </c>
      <c r="Q23" s="3"/>
      <c r="R23" s="32">
        <f>+Tabla15132[[#This Row],[VALOR INICIAL DEL CONTRATO CON IVA]]+Tabla15132[[#This Row],[VALOR DE LAS ADICIONES CON IVA]]</f>
        <v>1544000</v>
      </c>
      <c r="S23" s="4">
        <f>+Tabla15132[[#This Row],[FECHA TERMINACIÓN INICIAL CONTRATO]]-Tabla15132[[#This Row],[FECHA INICIO CONTRATO]]</f>
        <v>15</v>
      </c>
      <c r="T23" s="24" t="s">
        <v>318</v>
      </c>
      <c r="U23" s="58"/>
      <c r="V23" s="56" t="s">
        <v>318</v>
      </c>
      <c r="W23" s="70">
        <v>45713</v>
      </c>
      <c r="X23" s="70">
        <v>45728</v>
      </c>
      <c r="Y23" s="70">
        <v>45728</v>
      </c>
      <c r="Z23" s="65" t="str">
        <f>+Tabla15132[[#This Row],[ÁREA QUE CONTRATA ]]</f>
        <v>Sucursal Florencia</v>
      </c>
      <c r="AA23" s="72" t="s">
        <v>405</v>
      </c>
      <c r="AB23" s="60"/>
      <c r="AC23" s="60"/>
      <c r="AD23" s="56" t="s">
        <v>1062</v>
      </c>
      <c r="AE23" s="34">
        <v>1</v>
      </c>
      <c r="AF23" s="34">
        <v>1</v>
      </c>
      <c r="AG23" s="35">
        <v>1544000</v>
      </c>
      <c r="AH23" s="36" t="s">
        <v>1954</v>
      </c>
    </row>
    <row r="24" spans="1:37" ht="29" x14ac:dyDescent="0.35">
      <c r="A24" s="55" t="s">
        <v>309</v>
      </c>
      <c r="B24" s="2" t="s">
        <v>310</v>
      </c>
      <c r="C24" s="30" t="s">
        <v>1032</v>
      </c>
      <c r="D24" s="31" t="s">
        <v>313</v>
      </c>
      <c r="E24" s="96" t="s">
        <v>1955</v>
      </c>
      <c r="F24" s="70">
        <v>45714</v>
      </c>
      <c r="G24" s="30" t="s">
        <v>142</v>
      </c>
      <c r="H24" s="94" t="s">
        <v>1956</v>
      </c>
      <c r="I24" s="32">
        <v>14151000</v>
      </c>
      <c r="J24" s="32">
        <v>2688690</v>
      </c>
      <c r="K24" s="47">
        <v>16839690</v>
      </c>
      <c r="L24" s="77" t="s">
        <v>84</v>
      </c>
      <c r="M24" s="54">
        <v>901446210</v>
      </c>
      <c r="N24" s="30" t="s">
        <v>103</v>
      </c>
      <c r="O24" s="2" t="s">
        <v>1957</v>
      </c>
      <c r="P24" s="73" t="s">
        <v>318</v>
      </c>
      <c r="Q24" s="3"/>
      <c r="R24" s="32">
        <f>+Tabla15132[[#This Row],[VALOR INICIAL DEL CONTRATO CON IVA]]+Tabla15132[[#This Row],[VALOR DE LAS ADICIONES CON IVA]]</f>
        <v>16839690</v>
      </c>
      <c r="S24" s="4">
        <f>+Tabla15132[[#This Row],[FECHA TERMINACIÓN INICIAL CONTRATO]]-Tabla15132[[#This Row],[FECHA INICIO CONTRATO]]</f>
        <v>49</v>
      </c>
      <c r="T24" s="24" t="s">
        <v>318</v>
      </c>
      <c r="U24" s="58"/>
      <c r="V24" s="56" t="s">
        <v>318</v>
      </c>
      <c r="W24" s="70">
        <v>45720</v>
      </c>
      <c r="X24" s="70">
        <v>45769</v>
      </c>
      <c r="Y24" s="70">
        <v>45769</v>
      </c>
      <c r="Z24" s="65" t="str">
        <f>+Tabla15132[[#This Row],[ÁREA QUE CONTRATA ]]</f>
        <v>Sucursal Yopal</v>
      </c>
      <c r="AA24" s="72" t="s">
        <v>405</v>
      </c>
      <c r="AB24" s="60"/>
      <c r="AC24" s="60"/>
      <c r="AD24" s="56" t="s">
        <v>1774</v>
      </c>
      <c r="AE24" s="34">
        <v>1</v>
      </c>
      <c r="AF24" s="34">
        <v>1</v>
      </c>
      <c r="AG24" s="35">
        <v>16839690</v>
      </c>
      <c r="AH24" s="36" t="s">
        <v>1958</v>
      </c>
    </row>
    <row r="25" spans="1:37" ht="29" x14ac:dyDescent="0.35">
      <c r="A25" s="55" t="s">
        <v>309</v>
      </c>
      <c r="B25" s="2" t="s">
        <v>310</v>
      </c>
      <c r="C25" s="30" t="s">
        <v>349</v>
      </c>
      <c r="D25" s="31" t="s">
        <v>313</v>
      </c>
      <c r="E25" s="96" t="s">
        <v>1959</v>
      </c>
      <c r="F25" s="70">
        <v>45716</v>
      </c>
      <c r="G25" s="30" t="s">
        <v>88</v>
      </c>
      <c r="H25" s="94" t="s">
        <v>1960</v>
      </c>
      <c r="I25" s="32">
        <v>17647059</v>
      </c>
      <c r="J25" s="32">
        <v>3352941</v>
      </c>
      <c r="K25" s="47">
        <v>21000000</v>
      </c>
      <c r="L25" s="77" t="s">
        <v>84</v>
      </c>
      <c r="M25" s="54">
        <v>900360261</v>
      </c>
      <c r="N25" s="30" t="s">
        <v>108</v>
      </c>
      <c r="O25" s="2" t="s">
        <v>1034</v>
      </c>
      <c r="P25" s="73" t="s">
        <v>318</v>
      </c>
      <c r="Q25" s="3"/>
      <c r="R25" s="32">
        <f>+Tabla15132[[#This Row],[VALOR INICIAL DEL CONTRATO CON IVA]]+Tabla15132[[#This Row],[VALOR DE LAS ADICIONES CON IVA]]</f>
        <v>21000000</v>
      </c>
      <c r="S25" s="4">
        <f>+Tabla15132[[#This Row],[FECHA TERMINACIÓN INICIAL CONTRATO]]-Tabla15132[[#This Row],[FECHA INICIO CONTRATO]]</f>
        <v>305</v>
      </c>
      <c r="T25" s="24" t="s">
        <v>318</v>
      </c>
      <c r="U25" s="58"/>
      <c r="V25" s="56" t="s">
        <v>318</v>
      </c>
      <c r="W25" s="70">
        <v>45717</v>
      </c>
      <c r="X25" s="70">
        <v>46022</v>
      </c>
      <c r="Y25" s="70">
        <v>46022</v>
      </c>
      <c r="Z25" s="65" t="str">
        <f>+Tabla15132[[#This Row],[ÁREA QUE CONTRATA ]]</f>
        <v>Sucursal Cartagena</v>
      </c>
      <c r="AA25" s="72" t="s">
        <v>319</v>
      </c>
      <c r="AB25" s="60"/>
      <c r="AC25" s="60"/>
      <c r="AD25" s="56" t="s">
        <v>1030</v>
      </c>
      <c r="AE25" s="34">
        <v>0.49</v>
      </c>
      <c r="AF25" s="34">
        <v>0</v>
      </c>
      <c r="AG25" s="35">
        <v>4200000</v>
      </c>
      <c r="AH25" s="36" t="s">
        <v>1961</v>
      </c>
      <c r="AK25" s="81">
        <f>+Tabla15132[[#This Row],[VALOR TOTAL DEL CONTRATO CON IVA (VALOR INICIAL + ADICIONES) ]]-Tabla15132[[#This Row],[VALOR PAGADO (EN PESOS)
(TOTAL VR. FACTURAS)]]</f>
        <v>16800000</v>
      </c>
    </row>
    <row r="26" spans="1:37" ht="29" x14ac:dyDescent="0.35">
      <c r="A26" s="55" t="s">
        <v>309</v>
      </c>
      <c r="B26" s="2" t="s">
        <v>310</v>
      </c>
      <c r="C26" s="30" t="s">
        <v>353</v>
      </c>
      <c r="D26" s="31" t="s">
        <v>313</v>
      </c>
      <c r="E26" s="96" t="s">
        <v>1962</v>
      </c>
      <c r="F26" s="70">
        <v>45716</v>
      </c>
      <c r="G26" s="30" t="s">
        <v>113</v>
      </c>
      <c r="H26" s="94" t="s">
        <v>1963</v>
      </c>
      <c r="I26" s="32">
        <v>2300000</v>
      </c>
      <c r="J26" s="32">
        <v>123500</v>
      </c>
      <c r="K26" s="47">
        <v>2423500</v>
      </c>
      <c r="L26" s="77" t="s">
        <v>84</v>
      </c>
      <c r="M26" s="54">
        <v>901529226</v>
      </c>
      <c r="N26" s="30" t="s">
        <v>120</v>
      </c>
      <c r="O26" s="2" t="s">
        <v>1964</v>
      </c>
      <c r="P26" s="73" t="s">
        <v>318</v>
      </c>
      <c r="Q26" s="3"/>
      <c r="R26" s="32">
        <f>+Tabla15132[[#This Row],[VALOR INICIAL DEL CONTRATO CON IVA]]+Tabla15132[[#This Row],[VALOR DE LAS ADICIONES CON IVA]]</f>
        <v>2423500</v>
      </c>
      <c r="S26" s="4">
        <f>+Tabla15132[[#This Row],[FECHA TERMINACIÓN INICIAL CONTRATO]]-Tabla15132[[#This Row],[FECHA INICIO CONTRATO]]</f>
        <v>61</v>
      </c>
      <c r="T26" s="24" t="s">
        <v>318</v>
      </c>
      <c r="U26" s="58"/>
      <c r="V26" s="56" t="s">
        <v>318</v>
      </c>
      <c r="W26" s="70">
        <v>45716</v>
      </c>
      <c r="X26" s="70">
        <v>45777</v>
      </c>
      <c r="Y26" s="70">
        <v>45777</v>
      </c>
      <c r="Z26" s="65" t="str">
        <f>+Tabla15132[[#This Row],[ÁREA QUE CONTRATA ]]</f>
        <v>Sucursal Medellin</v>
      </c>
      <c r="AA26" s="72" t="s">
        <v>405</v>
      </c>
      <c r="AB26" s="60"/>
      <c r="AC26" s="60"/>
      <c r="AD26" s="56" t="s">
        <v>1965</v>
      </c>
      <c r="AE26" s="34">
        <v>1</v>
      </c>
      <c r="AF26" s="34">
        <v>1</v>
      </c>
      <c r="AG26" s="35">
        <v>2423500</v>
      </c>
      <c r="AH26" s="36" t="s">
        <v>1966</v>
      </c>
      <c r="AK26" s="81">
        <f>+Tabla15132[[#This Row],[VALOR TOTAL DEL CONTRATO CON IVA (VALOR INICIAL + ADICIONES) ]]-Tabla15132[[#This Row],[VALOR PAGADO (EN PESOS)
(TOTAL VR. FACTURAS)]]</f>
        <v>0</v>
      </c>
    </row>
    <row r="27" spans="1:37" ht="43.5" x14ac:dyDescent="0.35">
      <c r="A27" s="55" t="s">
        <v>309</v>
      </c>
      <c r="B27" s="2" t="s">
        <v>310</v>
      </c>
      <c r="C27" s="30" t="s">
        <v>385</v>
      </c>
      <c r="D27" s="31" t="s">
        <v>313</v>
      </c>
      <c r="E27" s="96" t="s">
        <v>1967</v>
      </c>
      <c r="F27" s="70">
        <v>45721</v>
      </c>
      <c r="G27" s="30" t="s">
        <v>142</v>
      </c>
      <c r="H27" s="94" t="s">
        <v>1968</v>
      </c>
      <c r="I27" s="32">
        <v>3547000</v>
      </c>
      <c r="J27" s="32">
        <v>673930</v>
      </c>
      <c r="K27" s="47">
        <v>4220930</v>
      </c>
      <c r="L27" s="77" t="s">
        <v>84</v>
      </c>
      <c r="M27" s="54">
        <v>800240218</v>
      </c>
      <c r="N27" s="30" t="s">
        <v>91</v>
      </c>
      <c r="O27" s="2" t="s">
        <v>1050</v>
      </c>
      <c r="P27" s="73" t="s">
        <v>318</v>
      </c>
      <c r="Q27" s="3"/>
      <c r="R27" s="32">
        <f>+Tabla15132[[#This Row],[VALOR INICIAL DEL CONTRATO CON IVA]]+Tabla15132[[#This Row],[VALOR DE LAS ADICIONES CON IVA]]</f>
        <v>4220930</v>
      </c>
      <c r="S27" s="4">
        <f>+Tabla15132[[#This Row],[FECHA TERMINACIÓN INICIAL CONTRATO]]-Tabla15132[[#This Row],[FECHA INICIO CONTRATO]]</f>
        <v>296</v>
      </c>
      <c r="T27" s="24" t="s">
        <v>318</v>
      </c>
      <c r="U27" s="58"/>
      <c r="V27" s="56" t="s">
        <v>318</v>
      </c>
      <c r="W27" s="70">
        <v>45726</v>
      </c>
      <c r="X27" s="70">
        <v>46022</v>
      </c>
      <c r="Y27" s="70">
        <v>46022</v>
      </c>
      <c r="Z27" s="65" t="str">
        <f>+Tabla15132[[#This Row],[ÁREA QUE CONTRATA ]]</f>
        <v>Sucursal Sincelejo</v>
      </c>
      <c r="AA27" s="72" t="s">
        <v>319</v>
      </c>
      <c r="AB27" s="60"/>
      <c r="AC27" s="60"/>
      <c r="AD27" s="56" t="s">
        <v>964</v>
      </c>
      <c r="AE27" s="34">
        <v>0.47320000000000001</v>
      </c>
      <c r="AF27" s="34">
        <v>0</v>
      </c>
      <c r="AG27" s="35">
        <v>0</v>
      </c>
      <c r="AH27" s="36" t="s">
        <v>1969</v>
      </c>
      <c r="AK27" s="81">
        <f>+Tabla15132[[#This Row],[VALOR TOTAL DEL CONTRATO CON IVA (VALOR INICIAL + ADICIONES) ]]-Tabla15132[[#This Row],[VALOR PAGADO (EN PESOS)
(TOTAL VR. FACTURAS)]]</f>
        <v>4220930</v>
      </c>
    </row>
    <row r="28" spans="1:37" ht="29" x14ac:dyDescent="0.35">
      <c r="A28" s="55" t="s">
        <v>309</v>
      </c>
      <c r="B28" s="2" t="s">
        <v>310</v>
      </c>
      <c r="C28" s="30" t="s">
        <v>507</v>
      </c>
      <c r="D28" s="31" t="s">
        <v>714</v>
      </c>
      <c r="E28" s="96" t="s">
        <v>1970</v>
      </c>
      <c r="F28" s="70">
        <v>45730</v>
      </c>
      <c r="G28" s="30" t="s">
        <v>113</v>
      </c>
      <c r="H28" s="94" t="s">
        <v>1971</v>
      </c>
      <c r="I28" s="32">
        <v>1756842</v>
      </c>
      <c r="J28" s="32">
        <v>333800</v>
      </c>
      <c r="K28" s="47">
        <v>2090642</v>
      </c>
      <c r="L28" s="77" t="s">
        <v>84</v>
      </c>
      <c r="M28" s="54">
        <v>830001338</v>
      </c>
      <c r="N28" s="30" t="s">
        <v>91</v>
      </c>
      <c r="O28" s="2" t="s">
        <v>1743</v>
      </c>
      <c r="P28" s="73" t="s">
        <v>318</v>
      </c>
      <c r="Q28" s="3"/>
      <c r="R28" s="32">
        <f>+Tabla15132[[#This Row],[VALOR INICIAL DEL CONTRATO CON IVA]]+Tabla15132[[#This Row],[VALOR DE LAS ADICIONES CON IVA]]</f>
        <v>2090642</v>
      </c>
      <c r="S28" s="4">
        <f>+Tabla15132[[#This Row],[FECHA TERMINACIÓN INICIAL CONTRATO]]-Tabla15132[[#This Row],[FECHA INICIO CONTRATO]]</f>
        <v>17</v>
      </c>
      <c r="T28" s="24" t="s">
        <v>318</v>
      </c>
      <c r="U28" s="58"/>
      <c r="V28" s="56" t="s">
        <v>318</v>
      </c>
      <c r="W28" s="70">
        <v>45730</v>
      </c>
      <c r="X28" s="70">
        <v>45747</v>
      </c>
      <c r="Y28" s="70">
        <v>45747</v>
      </c>
      <c r="Z28" s="65" t="str">
        <f>+Tabla15132[[#This Row],[ÁREA QUE CONTRATA ]]</f>
        <v>Sucursal Estatal</v>
      </c>
      <c r="AA28" s="72" t="s">
        <v>405</v>
      </c>
      <c r="AB28" s="60"/>
      <c r="AC28" s="60"/>
      <c r="AD28" s="56" t="s">
        <v>583</v>
      </c>
      <c r="AE28" s="34">
        <v>1</v>
      </c>
      <c r="AF28" s="34">
        <v>1</v>
      </c>
      <c r="AG28" s="143">
        <v>2090642</v>
      </c>
      <c r="AH28" s="36" t="s">
        <v>1972</v>
      </c>
      <c r="AK28" s="81">
        <f>+Tabla15132[[#This Row],[VALOR TOTAL DEL CONTRATO CON IVA (VALOR INICIAL + ADICIONES) ]]-Tabla15132[[#This Row],[VALOR PAGADO (EN PESOS)
(TOTAL VR. FACTURAS)]]</f>
        <v>0</v>
      </c>
    </row>
    <row r="29" spans="1:37" ht="58" x14ac:dyDescent="0.35">
      <c r="A29" s="55" t="s">
        <v>309</v>
      </c>
      <c r="B29" s="2" t="s">
        <v>310</v>
      </c>
      <c r="C29" s="30" t="s">
        <v>1031</v>
      </c>
      <c r="D29" s="31" t="s">
        <v>714</v>
      </c>
      <c r="E29" s="96" t="s">
        <v>1973</v>
      </c>
      <c r="F29" s="70">
        <v>45730</v>
      </c>
      <c r="G29" s="30" t="s">
        <v>150</v>
      </c>
      <c r="H29" s="94" t="s">
        <v>1974</v>
      </c>
      <c r="I29" s="32">
        <v>2500000</v>
      </c>
      <c r="J29" s="32">
        <v>475000</v>
      </c>
      <c r="K29" s="47">
        <v>2975000</v>
      </c>
      <c r="L29" s="77" t="s">
        <v>96</v>
      </c>
      <c r="M29" s="54">
        <v>1094973615</v>
      </c>
      <c r="N29" s="30"/>
      <c r="O29" s="2" t="s">
        <v>1065</v>
      </c>
      <c r="P29" s="73" t="s">
        <v>318</v>
      </c>
      <c r="Q29" s="3"/>
      <c r="R29" s="32">
        <f>+Tabla15132[[#This Row],[VALOR INICIAL DEL CONTRATO CON IVA]]+Tabla15132[[#This Row],[VALOR DE LAS ADICIONES CON IVA]]</f>
        <v>2975000</v>
      </c>
      <c r="S29" s="4">
        <f>+Tabla15132[[#This Row],[FECHA TERMINACIÓN INICIAL CONTRATO]]-Tabla15132[[#This Row],[FECHA INICIO CONTRATO]]</f>
        <v>0</v>
      </c>
      <c r="T29" s="24" t="s">
        <v>318</v>
      </c>
      <c r="U29" s="58"/>
      <c r="V29" s="56" t="s">
        <v>318</v>
      </c>
      <c r="W29" s="70">
        <v>45742</v>
      </c>
      <c r="X29" s="70">
        <v>45742</v>
      </c>
      <c r="Y29" s="70">
        <v>45742</v>
      </c>
      <c r="Z29" s="65" t="str">
        <f>+Tabla15132[[#This Row],[ÁREA QUE CONTRATA ]]</f>
        <v>Sucursal Armenia</v>
      </c>
      <c r="AA29" s="72" t="s">
        <v>405</v>
      </c>
      <c r="AB29" s="60"/>
      <c r="AC29" s="60"/>
      <c r="AD29" s="56" t="s">
        <v>1445</v>
      </c>
      <c r="AE29" s="34">
        <v>1</v>
      </c>
      <c r="AF29" s="34">
        <v>1</v>
      </c>
      <c r="AG29" s="35">
        <v>2975000</v>
      </c>
      <c r="AH29" s="36" t="s">
        <v>1975</v>
      </c>
      <c r="AK29" s="81">
        <f>+Tabla15132[[#This Row],[VALOR TOTAL DEL CONTRATO CON IVA (VALOR INICIAL + ADICIONES) ]]-Tabla15132[[#This Row],[VALOR PAGADO (EN PESOS)
(TOTAL VR. FACTURAS)]]</f>
        <v>0</v>
      </c>
    </row>
    <row r="30" spans="1:37" ht="58" x14ac:dyDescent="0.35">
      <c r="A30" s="55" t="s">
        <v>309</v>
      </c>
      <c r="B30" s="2" t="s">
        <v>310</v>
      </c>
      <c r="C30" s="2" t="s">
        <v>1976</v>
      </c>
      <c r="D30" s="31" t="s">
        <v>714</v>
      </c>
      <c r="E30" s="96" t="s">
        <v>1977</v>
      </c>
      <c r="F30" s="70">
        <v>45735</v>
      </c>
      <c r="G30" s="30" t="s">
        <v>150</v>
      </c>
      <c r="H30" s="94" t="s">
        <v>1978</v>
      </c>
      <c r="I30" s="32">
        <v>1898148</v>
      </c>
      <c r="J30" s="32">
        <v>151852</v>
      </c>
      <c r="K30" s="47">
        <v>2050000</v>
      </c>
      <c r="L30" s="77" t="s">
        <v>84</v>
      </c>
      <c r="M30" s="54">
        <v>901766820</v>
      </c>
      <c r="N30" s="30" t="s">
        <v>123</v>
      </c>
      <c r="O30" s="2" t="s">
        <v>1979</v>
      </c>
      <c r="P30" s="73" t="s">
        <v>318</v>
      </c>
      <c r="Q30" s="3"/>
      <c r="R30" s="32">
        <f>+Tabla15132[[#This Row],[VALOR INICIAL DEL CONTRATO CON IVA]]+Tabla15132[[#This Row],[VALOR DE LAS ADICIONES CON IVA]]</f>
        <v>2050000</v>
      </c>
      <c r="S30" s="4">
        <f>+Tabla15132[[#This Row],[FECHA TERMINACIÓN INICIAL CONTRATO]]-Tabla15132[[#This Row],[FECHA INICIO CONTRATO]]</f>
        <v>0</v>
      </c>
      <c r="T30" s="24" t="s">
        <v>318</v>
      </c>
      <c r="U30" s="58"/>
      <c r="V30" s="56" t="s">
        <v>318</v>
      </c>
      <c r="W30" s="70">
        <v>45736</v>
      </c>
      <c r="X30" s="70">
        <v>45736</v>
      </c>
      <c r="Y30" s="70">
        <v>45736</v>
      </c>
      <c r="Z30" s="65" t="str">
        <f>+Tabla15132[[#This Row],[ÁREA QUE CONTRATA ]]</f>
        <v>Sucursal Popayan</v>
      </c>
      <c r="AA30" s="72" t="s">
        <v>405</v>
      </c>
      <c r="AB30" s="60"/>
      <c r="AC30" s="60"/>
      <c r="AD30" s="56" t="s">
        <v>1445</v>
      </c>
      <c r="AE30" s="34">
        <v>1</v>
      </c>
      <c r="AF30" s="34">
        <v>1</v>
      </c>
      <c r="AG30" s="35">
        <v>2050000</v>
      </c>
      <c r="AH30" s="36" t="s">
        <v>1980</v>
      </c>
      <c r="AK30" s="81">
        <f>+Tabla15132[[#This Row],[VALOR TOTAL DEL CONTRATO CON IVA (VALOR INICIAL + ADICIONES) ]]-Tabla15132[[#This Row],[VALOR PAGADO (EN PESOS)
(TOTAL VR. FACTURAS)]]</f>
        <v>0</v>
      </c>
    </row>
    <row r="31" spans="1:37" ht="58" x14ac:dyDescent="0.35">
      <c r="A31" s="55" t="s">
        <v>309</v>
      </c>
      <c r="B31" s="2" t="s">
        <v>310</v>
      </c>
      <c r="C31" s="30" t="s">
        <v>358</v>
      </c>
      <c r="D31" s="31" t="s">
        <v>714</v>
      </c>
      <c r="E31" s="96" t="s">
        <v>1981</v>
      </c>
      <c r="F31" s="70">
        <v>45735</v>
      </c>
      <c r="G31" s="30" t="s">
        <v>150</v>
      </c>
      <c r="H31" s="94" t="s">
        <v>1982</v>
      </c>
      <c r="I31" s="32">
        <v>2935000</v>
      </c>
      <c r="J31" s="32">
        <v>321150</v>
      </c>
      <c r="K31" s="47">
        <v>3256150</v>
      </c>
      <c r="L31" s="77" t="s">
        <v>84</v>
      </c>
      <c r="M31" s="54">
        <v>900621681</v>
      </c>
      <c r="N31" s="30" t="s">
        <v>111</v>
      </c>
      <c r="O31" s="2" t="s">
        <v>1983</v>
      </c>
      <c r="P31" s="73" t="s">
        <v>318</v>
      </c>
      <c r="Q31" s="3"/>
      <c r="R31" s="32">
        <f>+Tabla15132[[#This Row],[VALOR INICIAL DEL CONTRATO CON IVA]]+Tabla15132[[#This Row],[VALOR DE LAS ADICIONES CON IVA]]</f>
        <v>3256150</v>
      </c>
      <c r="S31" s="4">
        <f>+Tabla15132[[#This Row],[FECHA TERMINACIÓN INICIAL CONTRATO]]-Tabla15132[[#This Row],[FECHA INICIO CONTRATO]]</f>
        <v>0</v>
      </c>
      <c r="T31" s="24" t="s">
        <v>318</v>
      </c>
      <c r="U31" s="58"/>
      <c r="V31" s="56" t="s">
        <v>318</v>
      </c>
      <c r="W31" s="70">
        <v>45736</v>
      </c>
      <c r="X31" s="70">
        <v>45736</v>
      </c>
      <c r="Y31" s="70">
        <v>45736</v>
      </c>
      <c r="Z31" s="65" t="str">
        <f>+Tabla15132[[#This Row],[ÁREA QUE CONTRATA ]]</f>
        <v>Sucursal Neiva</v>
      </c>
      <c r="AA31" s="72" t="s">
        <v>405</v>
      </c>
      <c r="AB31" s="60"/>
      <c r="AC31" s="60"/>
      <c r="AD31" s="56" t="s">
        <v>1445</v>
      </c>
      <c r="AE31" s="34">
        <v>1</v>
      </c>
      <c r="AF31" s="34">
        <v>1</v>
      </c>
      <c r="AG31" s="35">
        <v>3256150</v>
      </c>
      <c r="AH31" s="36" t="s">
        <v>1984</v>
      </c>
      <c r="AK31" s="81">
        <f>+Tabla15132[[#This Row],[VALOR TOTAL DEL CONTRATO CON IVA (VALOR INICIAL + ADICIONES) ]]-Tabla15132[[#This Row],[VALOR PAGADO (EN PESOS)
(TOTAL VR. FACTURAS)]]</f>
        <v>0</v>
      </c>
    </row>
    <row r="32" spans="1:37" ht="29" x14ac:dyDescent="0.35">
      <c r="A32" s="55" t="s">
        <v>309</v>
      </c>
      <c r="B32" s="2" t="s">
        <v>310</v>
      </c>
      <c r="C32" s="30" t="s">
        <v>372</v>
      </c>
      <c r="D32" s="31" t="s">
        <v>714</v>
      </c>
      <c r="E32" s="96" t="s">
        <v>1985</v>
      </c>
      <c r="F32" s="70">
        <v>45734</v>
      </c>
      <c r="G32" s="30" t="s">
        <v>113</v>
      </c>
      <c r="H32" s="94" t="s">
        <v>1986</v>
      </c>
      <c r="I32" s="32">
        <v>2320000</v>
      </c>
      <c r="J32" s="32">
        <v>0</v>
      </c>
      <c r="K32" s="47">
        <v>2320000</v>
      </c>
      <c r="L32" s="77" t="s">
        <v>84</v>
      </c>
      <c r="M32" s="54">
        <v>860513883</v>
      </c>
      <c r="N32" s="30" t="s">
        <v>123</v>
      </c>
      <c r="O32" s="2" t="s">
        <v>1987</v>
      </c>
      <c r="P32" s="73" t="s">
        <v>318</v>
      </c>
      <c r="Q32" s="3"/>
      <c r="R32" s="32">
        <f>+Tabla15132[[#This Row],[VALOR INICIAL DEL CONTRATO CON IVA]]+Tabla15132[[#This Row],[VALOR DE LAS ADICIONES CON IVA]]</f>
        <v>2320000</v>
      </c>
      <c r="S32" s="4">
        <f>+Tabla15132[[#This Row],[FECHA TERMINACIÓN INICIAL CONTRATO]]-Tabla15132[[#This Row],[FECHA INICIO CONTRATO]]</f>
        <v>31</v>
      </c>
      <c r="T32" s="24" t="s">
        <v>318</v>
      </c>
      <c r="U32" s="58"/>
      <c r="V32" s="56" t="s">
        <v>318</v>
      </c>
      <c r="W32" s="70">
        <v>45734</v>
      </c>
      <c r="X32" s="70">
        <v>45765</v>
      </c>
      <c r="Y32" s="70">
        <v>45765</v>
      </c>
      <c r="Z32" s="65" t="str">
        <f>+Tabla15132[[#This Row],[ÁREA QUE CONTRATA ]]</f>
        <v xml:space="preserve">Centro Empresarial Corporativo </v>
      </c>
      <c r="AA32" s="72" t="s">
        <v>405</v>
      </c>
      <c r="AB32" s="60"/>
      <c r="AC32" s="60"/>
      <c r="AD32" s="56" t="s">
        <v>1062</v>
      </c>
      <c r="AE32" s="34">
        <v>1</v>
      </c>
      <c r="AF32" s="34">
        <v>1</v>
      </c>
      <c r="AG32" s="35">
        <v>2320000</v>
      </c>
      <c r="AH32" s="36" t="s">
        <v>1988</v>
      </c>
      <c r="AK32" s="81">
        <f>+Tabla15132[[#This Row],[VALOR TOTAL DEL CONTRATO CON IVA (VALOR INICIAL + ADICIONES) ]]-Tabla15132[[#This Row],[VALOR PAGADO (EN PESOS)
(TOTAL VR. FACTURAS)]]</f>
        <v>0</v>
      </c>
    </row>
    <row r="33" spans="1:37" ht="58" x14ac:dyDescent="0.35">
      <c r="A33" s="55" t="s">
        <v>309</v>
      </c>
      <c r="B33" s="2" t="s">
        <v>310</v>
      </c>
      <c r="C33" s="30" t="s">
        <v>381</v>
      </c>
      <c r="D33" s="31" t="s">
        <v>313</v>
      </c>
      <c r="E33" s="96" t="s">
        <v>1989</v>
      </c>
      <c r="F33" s="70">
        <v>45735</v>
      </c>
      <c r="G33" s="30" t="s">
        <v>150</v>
      </c>
      <c r="H33" s="94" t="s">
        <v>1990</v>
      </c>
      <c r="I33" s="32">
        <v>8999074</v>
      </c>
      <c r="J33" s="32">
        <v>719926</v>
      </c>
      <c r="K33" s="47">
        <v>9719000</v>
      </c>
      <c r="L33" s="77" t="s">
        <v>84</v>
      </c>
      <c r="M33" s="54">
        <v>901828726</v>
      </c>
      <c r="N33" s="30" t="s">
        <v>91</v>
      </c>
      <c r="O33" s="2" t="s">
        <v>1991</v>
      </c>
      <c r="P33" s="73" t="s">
        <v>318</v>
      </c>
      <c r="Q33" s="3">
        <v>0</v>
      </c>
      <c r="R33" s="32">
        <f>+Tabla15132[[#This Row],[VALOR INICIAL DEL CONTRATO CON IVA]]+Tabla15132[[#This Row],[VALOR DE LAS ADICIONES CON IVA]]</f>
        <v>9719000</v>
      </c>
      <c r="S33" s="4">
        <f>+Tabla15132[[#This Row],[FECHA TERMINACIÓN INICIAL CONTRATO]]-Tabla15132[[#This Row],[FECHA INICIO CONTRATO]]</f>
        <v>0</v>
      </c>
      <c r="T33" s="24" t="s">
        <v>318</v>
      </c>
      <c r="U33" s="58"/>
      <c r="V33" s="56" t="s">
        <v>318</v>
      </c>
      <c r="W33" s="70">
        <v>45736</v>
      </c>
      <c r="X33" s="70">
        <v>45736</v>
      </c>
      <c r="Y33" s="70">
        <v>45736</v>
      </c>
      <c r="Z33" s="65" t="str">
        <f>+Tabla15132[[#This Row],[ÁREA QUE CONTRATA ]]</f>
        <v>Sucursal Bucaramanga</v>
      </c>
      <c r="AA33" s="72" t="s">
        <v>405</v>
      </c>
      <c r="AB33" s="60"/>
      <c r="AC33" s="60"/>
      <c r="AD33" s="56" t="s">
        <v>1445</v>
      </c>
      <c r="AE33" s="34">
        <v>0.99990000000000001</v>
      </c>
      <c r="AF33" s="34">
        <v>0.99990000000000001</v>
      </c>
      <c r="AG33" s="35">
        <v>9718996.9499999993</v>
      </c>
      <c r="AH33" s="36" t="s">
        <v>1992</v>
      </c>
      <c r="AK33" s="81">
        <f>+Tabla15132[[#This Row],[VALOR TOTAL DEL CONTRATO CON IVA (VALOR INICIAL + ADICIONES) ]]-Tabla15132[[#This Row],[VALOR PAGADO (EN PESOS)
(TOTAL VR. FACTURAS)]]</f>
        <v>3.0500000007450581</v>
      </c>
    </row>
    <row r="34" spans="1:37" ht="58" x14ac:dyDescent="0.35">
      <c r="A34" s="55" t="s">
        <v>309</v>
      </c>
      <c r="B34" s="2" t="s">
        <v>310</v>
      </c>
      <c r="C34" s="30" t="s">
        <v>1032</v>
      </c>
      <c r="D34" s="31" t="s">
        <v>313</v>
      </c>
      <c r="E34" s="96" t="s">
        <v>1993</v>
      </c>
      <c r="F34" s="70">
        <v>45736</v>
      </c>
      <c r="G34" s="30" t="s">
        <v>150</v>
      </c>
      <c r="H34" s="94" t="s">
        <v>1994</v>
      </c>
      <c r="I34" s="32">
        <v>2700000</v>
      </c>
      <c r="J34" s="32">
        <v>0</v>
      </c>
      <c r="K34" s="47">
        <v>2700000</v>
      </c>
      <c r="L34" s="77" t="s">
        <v>96</v>
      </c>
      <c r="M34" s="54">
        <v>24714939</v>
      </c>
      <c r="N34" s="30"/>
      <c r="O34" s="2" t="s">
        <v>1064</v>
      </c>
      <c r="P34" s="73" t="s">
        <v>318</v>
      </c>
      <c r="Q34" s="3"/>
      <c r="R34" s="32">
        <f>+Tabla15132[[#This Row],[VALOR INICIAL DEL CONTRATO CON IVA]]+Tabla15132[[#This Row],[VALOR DE LAS ADICIONES CON IVA]]</f>
        <v>2700000</v>
      </c>
      <c r="S34" s="4">
        <f>+Tabla15132[[#This Row],[FECHA TERMINACIÓN INICIAL CONTRATO]]-Tabla15132[[#This Row],[FECHA INICIO CONTRATO]]</f>
        <v>0</v>
      </c>
      <c r="T34" s="24" t="s">
        <v>318</v>
      </c>
      <c r="U34" s="58"/>
      <c r="V34" s="56" t="s">
        <v>318</v>
      </c>
      <c r="W34" s="70">
        <v>45742</v>
      </c>
      <c r="X34" s="70">
        <v>45742</v>
      </c>
      <c r="Y34" s="70">
        <v>45742</v>
      </c>
      <c r="Z34" s="65" t="str">
        <f>+Tabla15132[[#This Row],[ÁREA QUE CONTRATA ]]</f>
        <v>Sucursal Yopal</v>
      </c>
      <c r="AA34" s="72" t="s">
        <v>405</v>
      </c>
      <c r="AB34" s="60"/>
      <c r="AC34" s="60"/>
      <c r="AD34" s="56" t="s">
        <v>1445</v>
      </c>
      <c r="AE34" s="34">
        <v>1</v>
      </c>
      <c r="AF34" s="34">
        <v>1</v>
      </c>
      <c r="AG34" s="35">
        <v>2700000</v>
      </c>
      <c r="AH34" s="36" t="s">
        <v>1995</v>
      </c>
      <c r="AK34" s="81">
        <f>+Tabla15132[[#This Row],[VALOR TOTAL DEL CONTRATO CON IVA (VALOR INICIAL + ADICIONES) ]]-Tabla15132[[#This Row],[VALOR PAGADO (EN PESOS)
(TOTAL VR. FACTURAS)]]</f>
        <v>0</v>
      </c>
    </row>
    <row r="35" spans="1:37" ht="58" x14ac:dyDescent="0.35">
      <c r="A35" s="55" t="s">
        <v>309</v>
      </c>
      <c r="B35" s="2" t="s">
        <v>310</v>
      </c>
      <c r="C35" s="30" t="s">
        <v>311</v>
      </c>
      <c r="D35" s="31" t="s">
        <v>714</v>
      </c>
      <c r="E35" s="96" t="s">
        <v>1996</v>
      </c>
      <c r="F35" s="70">
        <v>45736</v>
      </c>
      <c r="G35" s="30" t="s">
        <v>150</v>
      </c>
      <c r="H35" s="94" t="s">
        <v>1997</v>
      </c>
      <c r="I35" s="32">
        <v>1500000</v>
      </c>
      <c r="J35" s="32">
        <v>285000</v>
      </c>
      <c r="K35" s="47">
        <v>1785000</v>
      </c>
      <c r="L35" s="77" t="s">
        <v>96</v>
      </c>
      <c r="M35" s="54">
        <v>24239911</v>
      </c>
      <c r="N35" s="30"/>
      <c r="O35" s="2" t="s">
        <v>1041</v>
      </c>
      <c r="P35" s="73" t="s">
        <v>318</v>
      </c>
      <c r="Q35" s="3"/>
      <c r="R35" s="32">
        <f>+Tabla15132[[#This Row],[VALOR INICIAL DEL CONTRATO CON IVA]]+Tabla15132[[#This Row],[VALOR DE LAS ADICIONES CON IVA]]</f>
        <v>1785000</v>
      </c>
      <c r="S35" s="4">
        <f>+Tabla15132[[#This Row],[FECHA TERMINACIÓN INICIAL CONTRATO]]-Tabla15132[[#This Row],[FECHA INICIO CONTRATO]]</f>
        <v>0</v>
      </c>
      <c r="T35" s="24" t="s">
        <v>318</v>
      </c>
      <c r="U35" s="58"/>
      <c r="V35" s="56" t="s">
        <v>318</v>
      </c>
      <c r="W35" s="70">
        <v>45737</v>
      </c>
      <c r="X35" s="70">
        <v>45737</v>
      </c>
      <c r="Y35" s="70">
        <v>45737</v>
      </c>
      <c r="Z35" s="65" t="str">
        <f>+Tabla15132[[#This Row],[ÁREA QUE CONTRATA ]]</f>
        <v>Sucursal Arauca</v>
      </c>
      <c r="AA35" s="72" t="s">
        <v>405</v>
      </c>
      <c r="AB35" s="60"/>
      <c r="AC35" s="60"/>
      <c r="AD35" s="56" t="s">
        <v>1445</v>
      </c>
      <c r="AE35" s="34">
        <v>1</v>
      </c>
      <c r="AF35" s="34">
        <v>1</v>
      </c>
      <c r="AG35" s="35">
        <v>1785000</v>
      </c>
      <c r="AH35" s="36" t="s">
        <v>1998</v>
      </c>
      <c r="AK35" s="81">
        <f>+Tabla15132[[#This Row],[VALOR TOTAL DEL CONTRATO CON IVA (VALOR INICIAL + ADICIONES) ]]-Tabla15132[[#This Row],[VALOR PAGADO (EN PESOS)
(TOTAL VR. FACTURAS)]]</f>
        <v>0</v>
      </c>
    </row>
    <row r="36" spans="1:37" ht="29" x14ac:dyDescent="0.35">
      <c r="A36" s="55" t="s">
        <v>309</v>
      </c>
      <c r="B36" s="2" t="s">
        <v>310</v>
      </c>
      <c r="C36" s="30" t="s">
        <v>716</v>
      </c>
      <c r="D36" s="31" t="s">
        <v>313</v>
      </c>
      <c r="E36" s="96" t="s">
        <v>1999</v>
      </c>
      <c r="F36" s="70">
        <v>45714</v>
      </c>
      <c r="G36" s="30" t="s">
        <v>88</v>
      </c>
      <c r="H36" s="94" t="s">
        <v>2000</v>
      </c>
      <c r="I36" s="32">
        <v>1529920</v>
      </c>
      <c r="J36" s="32">
        <v>290685</v>
      </c>
      <c r="K36" s="47">
        <v>1820605</v>
      </c>
      <c r="L36" s="77" t="s">
        <v>84</v>
      </c>
      <c r="M36" s="54">
        <v>900684235</v>
      </c>
      <c r="N36" s="30" t="s">
        <v>103</v>
      </c>
      <c r="O36" s="2" t="s">
        <v>2001</v>
      </c>
      <c r="P36" s="73" t="s">
        <v>318</v>
      </c>
      <c r="Q36" s="3"/>
      <c r="R36" s="32">
        <f>+Tabla15132[[#This Row],[VALOR INICIAL DEL CONTRATO CON IVA]]+Tabla15132[[#This Row],[VALOR DE LAS ADICIONES CON IVA]]</f>
        <v>1820605</v>
      </c>
      <c r="S36" s="4">
        <f>+Tabla15132[[#This Row],[FECHA TERMINACIÓN INICIAL CONTRATO]]-Tabla15132[[#This Row],[FECHA INICIO CONTRATO]]</f>
        <v>30</v>
      </c>
      <c r="T36" s="24" t="s">
        <v>318</v>
      </c>
      <c r="U36" s="58"/>
      <c r="V36" s="56" t="s">
        <v>318</v>
      </c>
      <c r="W36" s="70">
        <v>45658</v>
      </c>
      <c r="X36" s="70">
        <v>45688</v>
      </c>
      <c r="Y36" s="70">
        <v>45688</v>
      </c>
      <c r="Z36" s="65" t="str">
        <f>+Tabla15132[[#This Row],[ÁREA QUE CONTRATA ]]</f>
        <v>Sucursal Quibdo</v>
      </c>
      <c r="AA36" s="72" t="s">
        <v>405</v>
      </c>
      <c r="AB36" s="60"/>
      <c r="AC36" s="60"/>
      <c r="AD36" s="56" t="s">
        <v>320</v>
      </c>
      <c r="AE36" s="34">
        <v>1</v>
      </c>
      <c r="AF36" s="34">
        <v>1</v>
      </c>
      <c r="AG36" s="35">
        <v>1820605</v>
      </c>
      <c r="AH36" s="36" t="s">
        <v>2002</v>
      </c>
      <c r="AK36" s="81">
        <f>+Tabla15132[[#This Row],[VALOR TOTAL DEL CONTRATO CON IVA (VALOR INICIAL + ADICIONES) ]]-Tabla15132[[#This Row],[VALOR PAGADO (EN PESOS)
(TOTAL VR. FACTURAS)]]</f>
        <v>0</v>
      </c>
    </row>
    <row r="37" spans="1:37" ht="29" x14ac:dyDescent="0.35">
      <c r="A37" s="55" t="s">
        <v>309</v>
      </c>
      <c r="B37" s="2" t="s">
        <v>310</v>
      </c>
      <c r="C37" s="30" t="s">
        <v>1035</v>
      </c>
      <c r="D37" s="31" t="s">
        <v>313</v>
      </c>
      <c r="E37" s="96" t="s">
        <v>2003</v>
      </c>
      <c r="F37" s="70">
        <v>45741</v>
      </c>
      <c r="G37" s="30" t="s">
        <v>142</v>
      </c>
      <c r="H37" s="94" t="s">
        <v>2004</v>
      </c>
      <c r="I37" s="32">
        <v>1100000</v>
      </c>
      <c r="J37" s="32">
        <v>0</v>
      </c>
      <c r="K37" s="47">
        <v>1100000</v>
      </c>
      <c r="L37" s="77" t="s">
        <v>96</v>
      </c>
      <c r="M37" s="54">
        <v>12998237</v>
      </c>
      <c r="N37" s="30"/>
      <c r="O37" s="2" t="s">
        <v>2005</v>
      </c>
      <c r="P37" s="73" t="s">
        <v>318</v>
      </c>
      <c r="Q37" s="3"/>
      <c r="R37" s="32">
        <f>+Tabla15132[[#This Row],[VALOR INICIAL DEL CONTRATO CON IVA]]+Tabla15132[[#This Row],[VALOR DE LAS ADICIONES CON IVA]]</f>
        <v>1100000</v>
      </c>
      <c r="S37" s="4">
        <f>+Tabla15132[[#This Row],[FECHA TERMINACIÓN INICIAL CONTRATO]]-Tabla15132[[#This Row],[FECHA INICIO CONTRATO]]</f>
        <v>0</v>
      </c>
      <c r="T37" s="24" t="s">
        <v>318</v>
      </c>
      <c r="U37" s="58"/>
      <c r="V37" s="56" t="s">
        <v>318</v>
      </c>
      <c r="W37" s="70">
        <v>45741</v>
      </c>
      <c r="X37" s="70">
        <v>45741</v>
      </c>
      <c r="Y37" s="70">
        <v>45741</v>
      </c>
      <c r="Z37" s="65" t="str">
        <f>+Tabla15132[[#This Row],[ÁREA QUE CONTRATA ]]</f>
        <v>Sucursal Pasto</v>
      </c>
      <c r="AA37" s="72" t="s">
        <v>405</v>
      </c>
      <c r="AB37" s="60"/>
      <c r="AC37" s="60"/>
      <c r="AD37" s="56" t="s">
        <v>1774</v>
      </c>
      <c r="AE37" s="34">
        <v>1</v>
      </c>
      <c r="AF37" s="34">
        <v>1</v>
      </c>
      <c r="AG37" s="35">
        <v>1100000</v>
      </c>
      <c r="AH37" s="36" t="s">
        <v>2006</v>
      </c>
      <c r="AK37" s="81">
        <f>+Tabla15132[[#This Row],[VALOR TOTAL DEL CONTRATO CON IVA (VALOR INICIAL + ADICIONES) ]]-Tabla15132[[#This Row],[VALOR PAGADO (EN PESOS)
(TOTAL VR. FACTURAS)]]</f>
        <v>0</v>
      </c>
    </row>
    <row r="38" spans="1:37" ht="58" x14ac:dyDescent="0.35">
      <c r="A38" s="55" t="s">
        <v>309</v>
      </c>
      <c r="B38" s="2" t="s">
        <v>310</v>
      </c>
      <c r="C38" s="30" t="s">
        <v>1038</v>
      </c>
      <c r="D38" s="31" t="s">
        <v>714</v>
      </c>
      <c r="E38" s="96" t="s">
        <v>2007</v>
      </c>
      <c r="F38" s="70">
        <v>45737</v>
      </c>
      <c r="G38" s="30" t="s">
        <v>150</v>
      </c>
      <c r="H38" s="94" t="s">
        <v>2008</v>
      </c>
      <c r="I38" s="32">
        <v>2129630</v>
      </c>
      <c r="J38" s="32">
        <v>170370</v>
      </c>
      <c r="K38" s="47">
        <v>2300000</v>
      </c>
      <c r="L38" s="77" t="s">
        <v>84</v>
      </c>
      <c r="M38" s="54">
        <v>892115006</v>
      </c>
      <c r="N38" s="30" t="s">
        <v>111</v>
      </c>
      <c r="O38" s="2" t="s">
        <v>2009</v>
      </c>
      <c r="P38" s="73" t="s">
        <v>318</v>
      </c>
      <c r="Q38" s="3"/>
      <c r="R38" s="32">
        <f>+Tabla15132[[#This Row],[VALOR INICIAL DEL CONTRATO CON IVA]]+Tabla15132[[#This Row],[VALOR DE LAS ADICIONES CON IVA]]</f>
        <v>2300000</v>
      </c>
      <c r="S38" s="4">
        <f>+Tabla15132[[#This Row],[FECHA TERMINACIÓN INICIAL CONTRATO]]-Tabla15132[[#This Row],[FECHA INICIO CONTRATO]]</f>
        <v>14</v>
      </c>
      <c r="T38" s="24" t="s">
        <v>318</v>
      </c>
      <c r="U38" s="58"/>
      <c r="V38" s="56" t="s">
        <v>318</v>
      </c>
      <c r="W38" s="70">
        <v>45737</v>
      </c>
      <c r="X38" s="70">
        <v>45751</v>
      </c>
      <c r="Y38" s="70">
        <v>45751</v>
      </c>
      <c r="Z38" s="65" t="str">
        <f>+Tabla15132[[#This Row],[ÁREA QUE CONTRATA ]]</f>
        <v>Sucursal Riohacha</v>
      </c>
      <c r="AA38" s="72" t="s">
        <v>405</v>
      </c>
      <c r="AB38" s="60"/>
      <c r="AC38" s="60"/>
      <c r="AD38" s="56" t="s">
        <v>1445</v>
      </c>
      <c r="AE38" s="34">
        <v>1</v>
      </c>
      <c r="AF38" s="34" t="s">
        <v>2010</v>
      </c>
      <c r="AG38" s="35">
        <v>2300000</v>
      </c>
      <c r="AH38" s="36" t="s">
        <v>2011</v>
      </c>
      <c r="AK38" s="81">
        <f>+Tabla15132[[#This Row],[VALOR TOTAL DEL CONTRATO CON IVA (VALOR INICIAL + ADICIONES) ]]-Tabla15132[[#This Row],[VALOR PAGADO (EN PESOS)
(TOTAL VR. FACTURAS)]]</f>
        <v>0</v>
      </c>
    </row>
    <row r="39" spans="1:37" ht="29" x14ac:dyDescent="0.35">
      <c r="A39" s="55" t="s">
        <v>309</v>
      </c>
      <c r="B39" s="2" t="s">
        <v>310</v>
      </c>
      <c r="C39" s="30" t="s">
        <v>372</v>
      </c>
      <c r="D39" s="31" t="s">
        <v>714</v>
      </c>
      <c r="E39" s="96" t="s">
        <v>2012</v>
      </c>
      <c r="F39" s="70">
        <v>45734</v>
      </c>
      <c r="G39" s="30" t="s">
        <v>113</v>
      </c>
      <c r="H39" s="94" t="s">
        <v>2013</v>
      </c>
      <c r="I39" s="144">
        <v>2402900</v>
      </c>
      <c r="J39" s="32">
        <v>0</v>
      </c>
      <c r="K39" s="47">
        <v>2402900</v>
      </c>
      <c r="L39" s="77" t="s">
        <v>84</v>
      </c>
      <c r="M39" s="54">
        <v>890900943</v>
      </c>
      <c r="N39" s="30" t="s">
        <v>91</v>
      </c>
      <c r="O39" s="2" t="s">
        <v>2014</v>
      </c>
      <c r="P39" s="73" t="s">
        <v>318</v>
      </c>
      <c r="Q39" s="3"/>
      <c r="R39" s="32">
        <f>+Tabla15132[[#This Row],[VALOR INICIAL DEL CONTRATO CON IVA]]+Tabla15132[[#This Row],[VALOR DE LAS ADICIONES CON IVA]]</f>
        <v>2402900</v>
      </c>
      <c r="S39" s="4">
        <f>+Tabla15132[[#This Row],[FECHA TERMINACIÓN INICIAL CONTRATO]]-Tabla15132[[#This Row],[FECHA INICIO CONTRATO]]</f>
        <v>31</v>
      </c>
      <c r="T39" s="24" t="s">
        <v>318</v>
      </c>
      <c r="U39" s="58"/>
      <c r="V39" s="56" t="s">
        <v>318</v>
      </c>
      <c r="W39" s="70">
        <v>45734</v>
      </c>
      <c r="X39" s="70">
        <v>45765</v>
      </c>
      <c r="Y39" s="70">
        <v>45765</v>
      </c>
      <c r="Z39" s="65" t="str">
        <f>+Tabla15132[[#This Row],[ÁREA QUE CONTRATA ]]</f>
        <v xml:space="preserve">Centro Empresarial Corporativo </v>
      </c>
      <c r="AA39" s="72" t="s">
        <v>405</v>
      </c>
      <c r="AB39" s="60"/>
      <c r="AC39" s="60"/>
      <c r="AD39" s="56" t="s">
        <v>1062</v>
      </c>
      <c r="AE39" s="34">
        <v>1</v>
      </c>
      <c r="AF39" s="34">
        <v>1</v>
      </c>
      <c r="AG39" s="35">
        <v>2402900</v>
      </c>
      <c r="AH39" s="36" t="s">
        <v>2015</v>
      </c>
      <c r="AK39" s="81">
        <f>+Tabla15132[[#This Row],[VALOR TOTAL DEL CONTRATO CON IVA (VALOR INICIAL + ADICIONES) ]]-Tabla15132[[#This Row],[VALOR PAGADO (EN PESOS)
(TOTAL VR. FACTURAS)]]</f>
        <v>0</v>
      </c>
    </row>
    <row r="40" spans="1:37" ht="58" x14ac:dyDescent="0.35">
      <c r="A40" s="55" t="s">
        <v>309</v>
      </c>
      <c r="B40" s="2" t="s">
        <v>310</v>
      </c>
      <c r="C40" s="30" t="s">
        <v>677</v>
      </c>
      <c r="D40" s="31" t="s">
        <v>714</v>
      </c>
      <c r="E40" s="96" t="s">
        <v>2016</v>
      </c>
      <c r="F40" s="70">
        <v>45742</v>
      </c>
      <c r="G40" s="30" t="s">
        <v>150</v>
      </c>
      <c r="H40" s="94" t="s">
        <v>2017</v>
      </c>
      <c r="I40" s="32">
        <v>1870000</v>
      </c>
      <c r="J40" s="32">
        <v>0</v>
      </c>
      <c r="K40" s="47">
        <v>1870000</v>
      </c>
      <c r="L40" s="77" t="s">
        <v>96</v>
      </c>
      <c r="M40" s="54">
        <v>26641316</v>
      </c>
      <c r="N40" s="30"/>
      <c r="O40" s="2" t="s">
        <v>1066</v>
      </c>
      <c r="P40" s="73" t="s">
        <v>318</v>
      </c>
      <c r="Q40" s="3"/>
      <c r="R40" s="32">
        <f>+Tabla15132[[#This Row],[VALOR INICIAL DEL CONTRATO CON IVA]]+Tabla15132[[#This Row],[VALOR DE LAS ADICIONES CON IVA]]</f>
        <v>1870000</v>
      </c>
      <c r="S40" s="4">
        <f>+Tabla15132[[#This Row],[FECHA TERMINACIÓN INICIAL CONTRATO]]-Tabla15132[[#This Row],[FECHA INICIO CONTRATO]]</f>
        <v>0</v>
      </c>
      <c r="T40" s="24" t="s">
        <v>318</v>
      </c>
      <c r="U40" s="58"/>
      <c r="V40" s="56" t="s">
        <v>318</v>
      </c>
      <c r="W40" s="70">
        <v>45743</v>
      </c>
      <c r="X40" s="70">
        <v>45743</v>
      </c>
      <c r="Y40" s="70">
        <v>45743</v>
      </c>
      <c r="Z40" s="65" t="str">
        <f>+Tabla15132[[#This Row],[ÁREA QUE CONTRATA ]]</f>
        <v>Sucursal Florencia</v>
      </c>
      <c r="AA40" s="72" t="s">
        <v>405</v>
      </c>
      <c r="AB40" s="60"/>
      <c r="AC40" s="60"/>
      <c r="AD40" s="56" t="s">
        <v>1445</v>
      </c>
      <c r="AE40" s="34">
        <v>1</v>
      </c>
      <c r="AF40" s="34">
        <v>1</v>
      </c>
      <c r="AG40" s="35">
        <v>1870000</v>
      </c>
      <c r="AH40" s="36" t="s">
        <v>2018</v>
      </c>
      <c r="AK40" s="81">
        <f>+Tabla15132[[#This Row],[VALOR TOTAL DEL CONTRATO CON IVA (VALOR INICIAL + ADICIONES) ]]-Tabla15132[[#This Row],[VALOR PAGADO (EN PESOS)
(TOTAL VR. FACTURAS)]]</f>
        <v>0</v>
      </c>
    </row>
    <row r="41" spans="1:37" ht="58" x14ac:dyDescent="0.35">
      <c r="A41" s="55" t="s">
        <v>309</v>
      </c>
      <c r="B41" s="2" t="s">
        <v>310</v>
      </c>
      <c r="C41" s="30" t="s">
        <v>393</v>
      </c>
      <c r="D41" s="31" t="s">
        <v>313</v>
      </c>
      <c r="E41" s="96" t="s">
        <v>2019</v>
      </c>
      <c r="F41" s="70">
        <v>45742</v>
      </c>
      <c r="G41" s="30" t="s">
        <v>150</v>
      </c>
      <c r="H41" s="94" t="s">
        <v>2020</v>
      </c>
      <c r="I41" s="32">
        <v>10875200</v>
      </c>
      <c r="J41" s="32">
        <v>884800</v>
      </c>
      <c r="K41" s="47">
        <v>11760000</v>
      </c>
      <c r="L41" s="77" t="s">
        <v>84</v>
      </c>
      <c r="M41" s="54">
        <v>901674082</v>
      </c>
      <c r="N41" s="30" t="s">
        <v>108</v>
      </c>
      <c r="O41" s="2" t="s">
        <v>2021</v>
      </c>
      <c r="P41" s="73" t="s">
        <v>318</v>
      </c>
      <c r="Q41" s="3"/>
      <c r="R41" s="32">
        <f>+Tabla15132[[#This Row],[VALOR INICIAL DEL CONTRATO CON IVA]]+Tabla15132[[#This Row],[VALOR DE LAS ADICIONES CON IVA]]</f>
        <v>11760000</v>
      </c>
      <c r="S41" s="4">
        <f>+Tabla15132[[#This Row],[FECHA TERMINACIÓN INICIAL CONTRATO]]-Tabla15132[[#This Row],[FECHA INICIO CONTRATO]]</f>
        <v>0</v>
      </c>
      <c r="T41" s="24" t="s">
        <v>318</v>
      </c>
      <c r="U41" s="58"/>
      <c r="V41" s="56" t="s">
        <v>318</v>
      </c>
      <c r="W41" s="70">
        <v>45743</v>
      </c>
      <c r="X41" s="70">
        <v>45743</v>
      </c>
      <c r="Y41" s="70">
        <v>45743</v>
      </c>
      <c r="Z41" s="65" t="str">
        <f>+Tabla15132[[#This Row],[ÁREA QUE CONTRATA ]]</f>
        <v>Sucursal Cali</v>
      </c>
      <c r="AA41" s="72" t="s">
        <v>405</v>
      </c>
      <c r="AB41" s="60"/>
      <c r="AC41" s="60"/>
      <c r="AD41" s="56" t="s">
        <v>1445</v>
      </c>
      <c r="AE41" s="34">
        <v>0.99870000000000003</v>
      </c>
      <c r="AF41" s="34">
        <v>1</v>
      </c>
      <c r="AG41" s="35">
        <v>11745216</v>
      </c>
      <c r="AH41" s="36" t="s">
        <v>2022</v>
      </c>
      <c r="AK41" s="81">
        <f>+Tabla15132[[#This Row],[VALOR TOTAL DEL CONTRATO CON IVA (VALOR INICIAL + ADICIONES) ]]-Tabla15132[[#This Row],[VALOR PAGADO (EN PESOS)
(TOTAL VR. FACTURAS)]]</f>
        <v>14784</v>
      </c>
    </row>
    <row r="42" spans="1:37" ht="58" x14ac:dyDescent="0.35">
      <c r="A42" s="55" t="s">
        <v>309</v>
      </c>
      <c r="B42" s="2" t="s">
        <v>310</v>
      </c>
      <c r="C42" s="30" t="s">
        <v>341</v>
      </c>
      <c r="D42" s="31" t="s">
        <v>714</v>
      </c>
      <c r="E42" s="96" t="s">
        <v>2023</v>
      </c>
      <c r="F42" s="70">
        <v>45742</v>
      </c>
      <c r="G42" s="30" t="s">
        <v>150</v>
      </c>
      <c r="H42" s="142" t="s">
        <v>2024</v>
      </c>
      <c r="I42" s="32">
        <v>4828704</v>
      </c>
      <c r="J42" s="32">
        <v>386296</v>
      </c>
      <c r="K42" s="47">
        <v>5215000</v>
      </c>
      <c r="L42" s="77" t="s">
        <v>84</v>
      </c>
      <c r="M42" s="54">
        <v>901797146</v>
      </c>
      <c r="N42" s="30" t="s">
        <v>111</v>
      </c>
      <c r="O42" s="2" t="s">
        <v>2025</v>
      </c>
      <c r="P42" s="73" t="s">
        <v>318</v>
      </c>
      <c r="Q42" s="3"/>
      <c r="R42" s="32">
        <f>+Tabla15132[[#This Row],[VALOR INICIAL DEL CONTRATO CON IVA]]+Tabla15132[[#This Row],[VALOR DE LAS ADICIONES CON IVA]]</f>
        <v>5215000</v>
      </c>
      <c r="S42" s="4">
        <f>+Tabla15132[[#This Row],[FECHA TERMINACIÓN INICIAL CONTRATO]]-Tabla15132[[#This Row],[FECHA INICIO CONTRATO]]</f>
        <v>0</v>
      </c>
      <c r="T42" s="24" t="s">
        <v>318</v>
      </c>
      <c r="U42" s="58"/>
      <c r="V42" s="56" t="s">
        <v>318</v>
      </c>
      <c r="W42" s="70">
        <v>45742</v>
      </c>
      <c r="X42" s="70">
        <v>45742</v>
      </c>
      <c r="Y42" s="70">
        <v>45742</v>
      </c>
      <c r="Z42" s="65" t="str">
        <f>+Tabla15132[[#This Row],[ÁREA QUE CONTRATA ]]</f>
        <v>Sucursal Pereira</v>
      </c>
      <c r="AA42" s="72" t="s">
        <v>405</v>
      </c>
      <c r="AB42" s="60"/>
      <c r="AC42" s="60"/>
      <c r="AD42" s="56" t="s">
        <v>1445</v>
      </c>
      <c r="AE42" s="34">
        <v>1</v>
      </c>
      <c r="AF42" s="34">
        <v>1</v>
      </c>
      <c r="AG42" s="35">
        <v>5215000</v>
      </c>
      <c r="AH42" s="36" t="s">
        <v>2026</v>
      </c>
      <c r="AK42" s="81">
        <f>+Tabla15132[[#This Row],[VALOR TOTAL DEL CONTRATO CON IVA (VALOR INICIAL + ADICIONES) ]]-Tabla15132[[#This Row],[VALOR PAGADO (EN PESOS)
(TOTAL VR. FACTURAS)]]</f>
        <v>0</v>
      </c>
    </row>
    <row r="43" spans="1:37" ht="58" x14ac:dyDescent="0.35">
      <c r="A43" s="55" t="s">
        <v>309</v>
      </c>
      <c r="B43" s="2" t="s">
        <v>310</v>
      </c>
      <c r="C43" s="30" t="s">
        <v>353</v>
      </c>
      <c r="D43" s="31" t="s">
        <v>313</v>
      </c>
      <c r="E43" s="96" t="s">
        <v>2027</v>
      </c>
      <c r="F43" s="70">
        <v>45741</v>
      </c>
      <c r="G43" s="30" t="s">
        <v>150</v>
      </c>
      <c r="H43" s="94" t="s">
        <v>2028</v>
      </c>
      <c r="I43" s="32">
        <v>10480400</v>
      </c>
      <c r="J43" s="32">
        <v>838432</v>
      </c>
      <c r="K43" s="47">
        <v>11318832</v>
      </c>
      <c r="L43" s="77" t="s">
        <v>96</v>
      </c>
      <c r="M43" s="54">
        <v>1152446717</v>
      </c>
      <c r="N43" s="30"/>
      <c r="O43" s="2" t="s">
        <v>2029</v>
      </c>
      <c r="P43" s="73" t="s">
        <v>318</v>
      </c>
      <c r="Q43" s="3"/>
      <c r="R43" s="32">
        <f>+Tabla15132[[#This Row],[VALOR INICIAL DEL CONTRATO CON IVA]]+Tabla15132[[#This Row],[VALOR DE LAS ADICIONES CON IVA]]</f>
        <v>11318832</v>
      </c>
      <c r="S43" s="4">
        <f>+Tabla15132[[#This Row],[FECHA TERMINACIÓN INICIAL CONTRATO]]-Tabla15132[[#This Row],[FECHA INICIO CONTRATO]]</f>
        <v>0</v>
      </c>
      <c r="T43" s="24" t="s">
        <v>318</v>
      </c>
      <c r="U43" s="58"/>
      <c r="V43" s="56" t="s">
        <v>318</v>
      </c>
      <c r="W43" s="70">
        <v>45743</v>
      </c>
      <c r="X43" s="70">
        <v>45743</v>
      </c>
      <c r="Y43" s="70">
        <v>45743</v>
      </c>
      <c r="Z43" s="65" t="str">
        <f>+Tabla15132[[#This Row],[ÁREA QUE CONTRATA ]]</f>
        <v>Sucursal Medellin</v>
      </c>
      <c r="AA43" s="72" t="s">
        <v>405</v>
      </c>
      <c r="AB43" s="60"/>
      <c r="AC43" s="60"/>
      <c r="AD43" s="56" t="s">
        <v>1445</v>
      </c>
      <c r="AE43" s="34">
        <v>1</v>
      </c>
      <c r="AF43" s="34">
        <v>1</v>
      </c>
      <c r="AG43" s="35">
        <v>10480400</v>
      </c>
      <c r="AH43" s="36" t="s">
        <v>2030</v>
      </c>
      <c r="AK43" s="81">
        <f>+Tabla15132[[#This Row],[VALOR TOTAL DEL CONTRATO CON IVA (VALOR INICIAL + ADICIONES) ]]-Tabla15132[[#This Row],[VALOR PAGADO (EN PESOS)
(TOTAL VR. FACTURAS)]]</f>
        <v>838432</v>
      </c>
    </row>
    <row r="44" spans="1:37" ht="58" x14ac:dyDescent="0.35">
      <c r="A44" s="55" t="s">
        <v>309</v>
      </c>
      <c r="B44" s="2" t="s">
        <v>310</v>
      </c>
      <c r="C44" s="30" t="s">
        <v>389</v>
      </c>
      <c r="D44" s="31" t="s">
        <v>714</v>
      </c>
      <c r="E44" s="96" t="s">
        <v>2031</v>
      </c>
      <c r="F44" s="70">
        <v>45743</v>
      </c>
      <c r="G44" s="30" t="s">
        <v>150</v>
      </c>
      <c r="H44" s="94" t="s">
        <v>2032</v>
      </c>
      <c r="I44" s="32">
        <v>4496832</v>
      </c>
      <c r="J44" s="32">
        <v>498402</v>
      </c>
      <c r="K44" s="47">
        <v>4995234</v>
      </c>
      <c r="L44" s="77" t="s">
        <v>84</v>
      </c>
      <c r="M44" s="54">
        <v>901868787</v>
      </c>
      <c r="N44" s="30" t="s">
        <v>91</v>
      </c>
      <c r="O44" s="2" t="s">
        <v>2033</v>
      </c>
      <c r="P44" s="73" t="s">
        <v>318</v>
      </c>
      <c r="Q44" s="3"/>
      <c r="R44" s="32">
        <f>+Tabla15132[[#This Row],[VALOR INICIAL DEL CONTRATO CON IVA]]+Tabla15132[[#This Row],[VALOR DE LAS ADICIONES CON IVA]]</f>
        <v>4995234</v>
      </c>
      <c r="S44" s="4">
        <f>+Tabla15132[[#This Row],[FECHA TERMINACIÓN INICIAL CONTRATO]]-Tabla15132[[#This Row],[FECHA INICIO CONTRATO]]</f>
        <v>0</v>
      </c>
      <c r="T44" s="24" t="s">
        <v>318</v>
      </c>
      <c r="U44" s="58"/>
      <c r="V44" s="56" t="s">
        <v>318</v>
      </c>
      <c r="W44" s="70">
        <v>45744</v>
      </c>
      <c r="X44" s="70">
        <v>45744</v>
      </c>
      <c r="Y44" s="70">
        <v>45744</v>
      </c>
      <c r="Z44" s="65" t="str">
        <f>+Tabla15132[[#This Row],[ÁREA QUE CONTRATA ]]</f>
        <v>Sucursal Manizales</v>
      </c>
      <c r="AA44" s="72" t="s">
        <v>405</v>
      </c>
      <c r="AB44" s="60"/>
      <c r="AC44" s="60"/>
      <c r="AD44" s="56" t="s">
        <v>1445</v>
      </c>
      <c r="AE44" s="34">
        <v>1</v>
      </c>
      <c r="AF44" s="34">
        <v>1</v>
      </c>
      <c r="AG44" s="35">
        <v>4856578</v>
      </c>
      <c r="AH44" s="36" t="s">
        <v>2034</v>
      </c>
      <c r="AK44" s="81">
        <f>+Tabla15132[[#This Row],[VALOR TOTAL DEL CONTRATO CON IVA (VALOR INICIAL + ADICIONES) ]]-Tabla15132[[#This Row],[VALOR PAGADO (EN PESOS)
(TOTAL VR. FACTURAS)]]</f>
        <v>138656</v>
      </c>
    </row>
    <row r="45" spans="1:37" ht="58" x14ac:dyDescent="0.35">
      <c r="A45" s="55" t="s">
        <v>309</v>
      </c>
      <c r="B45" s="2" t="s">
        <v>310</v>
      </c>
      <c r="C45" s="30" t="s">
        <v>426</v>
      </c>
      <c r="D45" s="31" t="s">
        <v>714</v>
      </c>
      <c r="E45" s="96" t="s">
        <v>2035</v>
      </c>
      <c r="F45" s="70">
        <v>45742</v>
      </c>
      <c r="G45" s="30" t="s">
        <v>150</v>
      </c>
      <c r="H45" s="94" t="s">
        <v>2036</v>
      </c>
      <c r="I45" s="32">
        <v>4760231</v>
      </c>
      <c r="J45" s="32">
        <v>380819</v>
      </c>
      <c r="K45" s="47">
        <v>5141050</v>
      </c>
      <c r="L45" s="77" t="s">
        <v>84</v>
      </c>
      <c r="M45" s="54">
        <v>901292627</v>
      </c>
      <c r="N45" s="30" t="s">
        <v>120</v>
      </c>
      <c r="O45" s="2" t="s">
        <v>2037</v>
      </c>
      <c r="P45" s="73" t="s">
        <v>318</v>
      </c>
      <c r="Q45" s="3"/>
      <c r="R45" s="32">
        <f>+Tabla15132[[#This Row],[VALOR INICIAL DEL CONTRATO CON IVA]]+Tabla15132[[#This Row],[VALOR DE LAS ADICIONES CON IVA]]</f>
        <v>5141050</v>
      </c>
      <c r="S45" s="4">
        <f>+Tabla15132[[#This Row],[FECHA TERMINACIÓN INICIAL CONTRATO]]-Tabla15132[[#This Row],[FECHA INICIO CONTRATO]]</f>
        <v>0</v>
      </c>
      <c r="T45" s="24" t="s">
        <v>318</v>
      </c>
      <c r="U45" s="58"/>
      <c r="V45" s="56" t="s">
        <v>318</v>
      </c>
      <c r="W45" s="70">
        <v>45743</v>
      </c>
      <c r="X45" s="70">
        <v>45743</v>
      </c>
      <c r="Y45" s="70">
        <v>45743</v>
      </c>
      <c r="Z45" s="65" t="str">
        <f>+Tabla15132[[#This Row],[ÁREA QUE CONTRATA ]]</f>
        <v>Sucursal Cúcuta</v>
      </c>
      <c r="AA45" s="72" t="s">
        <v>405</v>
      </c>
      <c r="AB45" s="60"/>
      <c r="AC45" s="60"/>
      <c r="AD45" s="56" t="s">
        <v>1445</v>
      </c>
      <c r="AE45" s="34">
        <v>1</v>
      </c>
      <c r="AF45" s="34">
        <v>1</v>
      </c>
      <c r="AG45" s="35">
        <v>5141050</v>
      </c>
      <c r="AH45" s="36" t="s">
        <v>2038</v>
      </c>
      <c r="AK45" s="81">
        <f>+Tabla15132[[#This Row],[VALOR TOTAL DEL CONTRATO CON IVA (VALOR INICIAL + ADICIONES) ]]-Tabla15132[[#This Row],[VALOR PAGADO (EN PESOS)
(TOTAL VR. FACTURAS)]]</f>
        <v>0</v>
      </c>
    </row>
    <row r="46" spans="1:37" ht="43.5" x14ac:dyDescent="0.35">
      <c r="A46" s="55" t="s">
        <v>309</v>
      </c>
      <c r="B46" s="2" t="s">
        <v>310</v>
      </c>
      <c r="C46" s="30" t="s">
        <v>393</v>
      </c>
      <c r="D46" s="31" t="s">
        <v>313</v>
      </c>
      <c r="E46" s="96" t="s">
        <v>2039</v>
      </c>
      <c r="F46" s="70">
        <v>45743</v>
      </c>
      <c r="G46" s="30" t="s">
        <v>142</v>
      </c>
      <c r="H46" s="94" t="s">
        <v>2040</v>
      </c>
      <c r="I46" s="32">
        <v>5970300</v>
      </c>
      <c r="J46" s="32">
        <v>1134357</v>
      </c>
      <c r="K46" s="47">
        <v>7104657</v>
      </c>
      <c r="L46" s="77" t="s">
        <v>84</v>
      </c>
      <c r="M46" s="54">
        <v>900250120</v>
      </c>
      <c r="N46" s="30" t="s">
        <v>97</v>
      </c>
      <c r="O46" s="2" t="s">
        <v>2041</v>
      </c>
      <c r="P46" s="73" t="s">
        <v>318</v>
      </c>
      <c r="Q46" s="3"/>
      <c r="R46" s="32">
        <f>+Tabla15132[[#This Row],[VALOR INICIAL DEL CONTRATO CON IVA]]+Tabla15132[[#This Row],[VALOR DE LAS ADICIONES CON IVA]]</f>
        <v>7104657</v>
      </c>
      <c r="S46" s="4">
        <f>+Tabla15132[[#This Row],[FECHA TERMINACIÓN INICIAL CONTRATO]]-Tabla15132[[#This Row],[FECHA INICIO CONTRATO]]</f>
        <v>279</v>
      </c>
      <c r="T46" s="24" t="s">
        <v>318</v>
      </c>
      <c r="U46" s="58"/>
      <c r="V46" s="56" t="s">
        <v>318</v>
      </c>
      <c r="W46" s="70">
        <v>45743</v>
      </c>
      <c r="X46" s="70">
        <v>46022</v>
      </c>
      <c r="Y46" s="70">
        <v>46022</v>
      </c>
      <c r="Z46" s="65" t="str">
        <f>+Tabla15132[[#This Row],[ÁREA QUE CONTRATA ]]</f>
        <v>Sucursal Cali</v>
      </c>
      <c r="AA46" s="72" t="s">
        <v>319</v>
      </c>
      <c r="AB46" s="60"/>
      <c r="AC46" s="60"/>
      <c r="AD46" s="56" t="s">
        <v>1033</v>
      </c>
      <c r="AE46" s="34">
        <v>0.28170000000000001</v>
      </c>
      <c r="AF46" s="34">
        <v>0.6</v>
      </c>
      <c r="AG46" s="35">
        <v>932127</v>
      </c>
      <c r="AH46" s="36" t="s">
        <v>2042</v>
      </c>
      <c r="AK46" s="81">
        <f>+Tabla15132[[#This Row],[VALOR TOTAL DEL CONTRATO CON IVA (VALOR INICIAL + ADICIONES) ]]-Tabla15132[[#This Row],[VALOR PAGADO (EN PESOS)
(TOTAL VR. FACTURAS)]]</f>
        <v>6172530</v>
      </c>
    </row>
    <row r="47" spans="1:37" ht="58" x14ac:dyDescent="0.35">
      <c r="A47" s="55" t="s">
        <v>309</v>
      </c>
      <c r="B47" s="2" t="s">
        <v>310</v>
      </c>
      <c r="C47" s="2" t="s">
        <v>321</v>
      </c>
      <c r="D47" s="31" t="s">
        <v>714</v>
      </c>
      <c r="E47" s="96" t="s">
        <v>2043</v>
      </c>
      <c r="F47" s="70">
        <v>45743</v>
      </c>
      <c r="G47" s="30" t="s">
        <v>150</v>
      </c>
      <c r="H47" s="94" t="s">
        <v>2044</v>
      </c>
      <c r="I47" s="32">
        <v>4500000</v>
      </c>
      <c r="J47" s="32">
        <v>360000</v>
      </c>
      <c r="K47" s="47">
        <v>4860000</v>
      </c>
      <c r="L47" s="77" t="s">
        <v>96</v>
      </c>
      <c r="M47" s="54">
        <v>93397820</v>
      </c>
      <c r="N47" s="30"/>
      <c r="O47" s="2" t="s">
        <v>2045</v>
      </c>
      <c r="P47" s="73" t="s">
        <v>318</v>
      </c>
      <c r="Q47" s="3"/>
      <c r="R47" s="32">
        <f>+Tabla15132[[#This Row],[VALOR INICIAL DEL CONTRATO CON IVA]]+Tabla15132[[#This Row],[VALOR DE LAS ADICIONES CON IVA]]</f>
        <v>4860000</v>
      </c>
      <c r="S47" s="4">
        <f>+Tabla15132[[#This Row],[FECHA TERMINACIÓN INICIAL CONTRATO]]-Tabla15132[[#This Row],[FECHA INICIO CONTRATO]]</f>
        <v>0</v>
      </c>
      <c r="T47" s="24" t="s">
        <v>318</v>
      </c>
      <c r="U47" s="58"/>
      <c r="V47" s="56" t="s">
        <v>318</v>
      </c>
      <c r="W47" s="70">
        <v>45743</v>
      </c>
      <c r="X47" s="70">
        <v>45743</v>
      </c>
      <c r="Y47" s="70">
        <v>45743</v>
      </c>
      <c r="Z47" s="65" t="str">
        <f>+Tabla15132[[#This Row],[ÁREA QUE CONTRATA ]]</f>
        <v>Sucursal Ibagué</v>
      </c>
      <c r="AA47" s="72" t="s">
        <v>405</v>
      </c>
      <c r="AB47" s="60"/>
      <c r="AC47" s="60"/>
      <c r="AD47" s="56" t="s">
        <v>1445</v>
      </c>
      <c r="AE47" s="34">
        <v>1</v>
      </c>
      <c r="AF47" s="34">
        <v>1</v>
      </c>
      <c r="AG47" s="35">
        <v>4860000</v>
      </c>
      <c r="AH47" s="36" t="s">
        <v>2046</v>
      </c>
      <c r="AK47" s="81">
        <f>+Tabla15132[[#This Row],[VALOR TOTAL DEL CONTRATO CON IVA (VALOR INICIAL + ADICIONES) ]]-Tabla15132[[#This Row],[VALOR PAGADO (EN PESOS)
(TOTAL VR. FACTURAS)]]</f>
        <v>0</v>
      </c>
    </row>
    <row r="48" spans="1:37" ht="72.5" x14ac:dyDescent="0.35">
      <c r="A48" s="55" t="s">
        <v>309</v>
      </c>
      <c r="B48" s="2" t="s">
        <v>310</v>
      </c>
      <c r="C48" s="30" t="s">
        <v>716</v>
      </c>
      <c r="D48" s="31" t="s">
        <v>313</v>
      </c>
      <c r="E48" s="96" t="s">
        <v>2047</v>
      </c>
      <c r="F48" s="70">
        <v>45743</v>
      </c>
      <c r="G48" s="30" t="s">
        <v>142</v>
      </c>
      <c r="H48" s="94" t="s">
        <v>2048</v>
      </c>
      <c r="I48" s="32">
        <v>6033613</v>
      </c>
      <c r="J48" s="32">
        <v>1146387</v>
      </c>
      <c r="K48" s="47">
        <v>7180000</v>
      </c>
      <c r="L48" s="77" t="s">
        <v>84</v>
      </c>
      <c r="M48" s="54">
        <v>900237753</v>
      </c>
      <c r="N48" s="30" t="s">
        <v>85</v>
      </c>
      <c r="O48" s="2" t="s">
        <v>1051</v>
      </c>
      <c r="P48" s="73" t="s">
        <v>318</v>
      </c>
      <c r="Q48" s="3"/>
      <c r="R48" s="32">
        <f>+Tabla15132[[#This Row],[VALOR INICIAL DEL CONTRATO CON IVA]]+Tabla15132[[#This Row],[VALOR DE LAS ADICIONES CON IVA]]</f>
        <v>7180000</v>
      </c>
      <c r="S48" s="4">
        <f>+Tabla15132[[#This Row],[FECHA TERMINACIÓN INICIAL CONTRATO]]-Tabla15132[[#This Row],[FECHA INICIO CONTRATO]]</f>
        <v>264</v>
      </c>
      <c r="T48" s="24" t="s">
        <v>318</v>
      </c>
      <c r="U48" s="58"/>
      <c r="V48" s="56" t="s">
        <v>318</v>
      </c>
      <c r="W48" s="70">
        <v>45757</v>
      </c>
      <c r="X48" s="70">
        <v>46021</v>
      </c>
      <c r="Y48" s="70">
        <v>46021</v>
      </c>
      <c r="Z48" s="65" t="str">
        <f>+Tabla15132[[#This Row],[ÁREA QUE CONTRATA ]]</f>
        <v>Sucursal Quibdo</v>
      </c>
      <c r="AA48" s="72" t="s">
        <v>319</v>
      </c>
      <c r="AB48" s="60"/>
      <c r="AC48" s="60"/>
      <c r="AD48" s="56" t="s">
        <v>2049</v>
      </c>
      <c r="AE48" s="34">
        <v>0.24299999999999999</v>
      </c>
      <c r="AF48" s="34">
        <v>0.24299999999999999</v>
      </c>
      <c r="AG48" s="35">
        <v>1750000</v>
      </c>
      <c r="AH48" s="36" t="s">
        <v>2050</v>
      </c>
      <c r="AK48" s="81">
        <f>+Tabla15132[[#This Row],[VALOR TOTAL DEL CONTRATO CON IVA (VALOR INICIAL + ADICIONES) ]]-Tabla15132[[#This Row],[VALOR PAGADO (EN PESOS)
(TOTAL VR. FACTURAS)]]</f>
        <v>5430000</v>
      </c>
    </row>
    <row r="49" spans="1:37" ht="58" x14ac:dyDescent="0.35">
      <c r="A49" s="55" t="s">
        <v>309</v>
      </c>
      <c r="B49" s="2" t="s">
        <v>310</v>
      </c>
      <c r="C49" s="30" t="s">
        <v>399</v>
      </c>
      <c r="D49" s="31" t="s">
        <v>714</v>
      </c>
      <c r="E49" s="96" t="s">
        <v>2051</v>
      </c>
      <c r="F49" s="70">
        <v>45743</v>
      </c>
      <c r="G49" s="30" t="s">
        <v>150</v>
      </c>
      <c r="H49" s="94" t="s">
        <v>2052</v>
      </c>
      <c r="I49" s="32">
        <v>1264000</v>
      </c>
      <c r="J49" s="32">
        <v>144400</v>
      </c>
      <c r="K49" s="47">
        <v>1408400</v>
      </c>
      <c r="L49" s="77" t="s">
        <v>84</v>
      </c>
      <c r="M49" s="54">
        <v>901150183</v>
      </c>
      <c r="N49" s="30" t="s">
        <v>85</v>
      </c>
      <c r="O49" s="2" t="s">
        <v>1045</v>
      </c>
      <c r="P49" s="73" t="s">
        <v>318</v>
      </c>
      <c r="Q49" s="3"/>
      <c r="R49" s="32">
        <f>+Tabla15132[[#This Row],[VALOR INICIAL DEL CONTRATO CON IVA]]+Tabla15132[[#This Row],[VALOR DE LAS ADICIONES CON IVA]]</f>
        <v>1408400</v>
      </c>
      <c r="S49" s="4">
        <f>+Tabla15132[[#This Row],[FECHA TERMINACIÓN INICIAL CONTRATO]]-Tabla15132[[#This Row],[FECHA INICIO CONTRATO]]</f>
        <v>0</v>
      </c>
      <c r="T49" s="24" t="s">
        <v>318</v>
      </c>
      <c r="U49" s="58"/>
      <c r="V49" s="56" t="s">
        <v>318</v>
      </c>
      <c r="W49" s="70">
        <v>45743</v>
      </c>
      <c r="X49" s="70">
        <v>45743</v>
      </c>
      <c r="Y49" s="70">
        <v>45743</v>
      </c>
      <c r="Z49" s="65" t="str">
        <f>+Tabla15132[[#This Row],[ÁREA QUE CONTRATA ]]</f>
        <v>Sucursal Buenaventura</v>
      </c>
      <c r="AA49" s="72" t="s">
        <v>405</v>
      </c>
      <c r="AB49" s="60"/>
      <c r="AC49" s="60"/>
      <c r="AD49" s="56" t="s">
        <v>1445</v>
      </c>
      <c r="AE49" s="34">
        <v>1</v>
      </c>
      <c r="AF49" s="34">
        <v>1</v>
      </c>
      <c r="AG49" s="35">
        <v>1408400</v>
      </c>
      <c r="AH49" s="36" t="s">
        <v>2053</v>
      </c>
      <c r="AK49" s="81">
        <f>+Tabla15132[[#This Row],[VALOR TOTAL DEL CONTRATO CON IVA (VALOR INICIAL + ADICIONES) ]]-Tabla15132[[#This Row],[VALOR PAGADO (EN PESOS)
(TOTAL VR. FACTURAS)]]</f>
        <v>0</v>
      </c>
    </row>
    <row r="50" spans="1:37" ht="58" x14ac:dyDescent="0.35">
      <c r="A50" s="55" t="s">
        <v>309</v>
      </c>
      <c r="B50" s="2" t="s">
        <v>310</v>
      </c>
      <c r="C50" s="30" t="s">
        <v>349</v>
      </c>
      <c r="D50" s="31" t="s">
        <v>714</v>
      </c>
      <c r="E50" s="96" t="s">
        <v>2054</v>
      </c>
      <c r="F50" s="70">
        <v>45743</v>
      </c>
      <c r="G50" s="30" t="s">
        <v>150</v>
      </c>
      <c r="H50" s="94" t="s">
        <v>2055</v>
      </c>
      <c r="I50" s="32">
        <v>5714623</v>
      </c>
      <c r="J50" s="32">
        <v>496697</v>
      </c>
      <c r="K50" s="47">
        <v>6211320</v>
      </c>
      <c r="L50" s="77" t="s">
        <v>84</v>
      </c>
      <c r="M50" s="54">
        <v>900594137</v>
      </c>
      <c r="N50" s="30" t="s">
        <v>103</v>
      </c>
      <c r="O50" s="2" t="s">
        <v>2056</v>
      </c>
      <c r="P50" s="73" t="s">
        <v>318</v>
      </c>
      <c r="Q50" s="3"/>
      <c r="R50" s="32">
        <f>+Tabla15132[[#This Row],[VALOR INICIAL DEL CONTRATO CON IVA]]+Tabla15132[[#This Row],[VALOR DE LAS ADICIONES CON IVA]]</f>
        <v>6211320</v>
      </c>
      <c r="S50" s="4">
        <f>+Tabla15132[[#This Row],[FECHA TERMINACIÓN INICIAL CONTRATO]]-Tabla15132[[#This Row],[FECHA INICIO CONTRATO]]</f>
        <v>8</v>
      </c>
      <c r="T50" s="24" t="s">
        <v>318</v>
      </c>
      <c r="U50" s="58"/>
      <c r="V50" s="56" t="s">
        <v>318</v>
      </c>
      <c r="W50" s="70">
        <v>45743</v>
      </c>
      <c r="X50" s="70">
        <v>45751</v>
      </c>
      <c r="Y50" s="70">
        <v>45751</v>
      </c>
      <c r="Z50" s="65" t="str">
        <f>+Tabla15132[[#This Row],[ÁREA QUE CONTRATA ]]</f>
        <v>Sucursal Cartagena</v>
      </c>
      <c r="AA50" s="72" t="s">
        <v>405</v>
      </c>
      <c r="AB50" s="60"/>
      <c r="AC50" s="60"/>
      <c r="AD50" s="56" t="s">
        <v>1445</v>
      </c>
      <c r="AE50" s="34">
        <v>1</v>
      </c>
      <c r="AF50" s="34">
        <v>1</v>
      </c>
      <c r="AG50" s="35">
        <v>6211320</v>
      </c>
      <c r="AH50" s="36" t="s">
        <v>2057</v>
      </c>
      <c r="AK50" s="81">
        <f>+Tabla15132[[#This Row],[VALOR TOTAL DEL CONTRATO CON IVA (VALOR INICIAL + ADICIONES) ]]-Tabla15132[[#This Row],[VALOR PAGADO (EN PESOS)
(TOTAL VR. FACTURAS)]]</f>
        <v>0</v>
      </c>
    </row>
    <row r="51" spans="1:37" ht="58" x14ac:dyDescent="0.35">
      <c r="A51" s="55" t="s">
        <v>309</v>
      </c>
      <c r="B51" s="2" t="s">
        <v>310</v>
      </c>
      <c r="C51" s="30" t="s">
        <v>403</v>
      </c>
      <c r="D51" s="31" t="s">
        <v>313</v>
      </c>
      <c r="E51" s="96" t="s">
        <v>2058</v>
      </c>
      <c r="F51" s="70">
        <v>45743</v>
      </c>
      <c r="G51" s="30" t="s">
        <v>150</v>
      </c>
      <c r="H51" s="94" t="s">
        <v>2059</v>
      </c>
      <c r="I51" s="32">
        <v>1200000</v>
      </c>
      <c r="J51" s="32">
        <v>96000</v>
      </c>
      <c r="K51" s="47">
        <v>1296000</v>
      </c>
      <c r="L51" s="77" t="s">
        <v>84</v>
      </c>
      <c r="M51" s="54">
        <v>901010849</v>
      </c>
      <c r="N51" s="30" t="s">
        <v>117</v>
      </c>
      <c r="O51" s="2" t="s">
        <v>1047</v>
      </c>
      <c r="P51" s="73" t="s">
        <v>318</v>
      </c>
      <c r="Q51" s="3"/>
      <c r="R51" s="32">
        <f>+Tabla15132[[#This Row],[VALOR INICIAL DEL CONTRATO CON IVA]]+Tabla15132[[#This Row],[VALOR DE LAS ADICIONES CON IVA]]</f>
        <v>1296000</v>
      </c>
      <c r="S51" s="4">
        <f>+Tabla15132[[#This Row],[FECHA TERMINACIÓN INICIAL CONTRATO]]-Tabla15132[[#This Row],[FECHA INICIO CONTRATO]]</f>
        <v>7</v>
      </c>
      <c r="T51" s="24" t="s">
        <v>318</v>
      </c>
      <c r="U51" s="58"/>
      <c r="V51" s="56" t="s">
        <v>318</v>
      </c>
      <c r="W51" s="70">
        <v>45743</v>
      </c>
      <c r="X51" s="70">
        <v>45750</v>
      </c>
      <c r="Y51" s="70">
        <v>45750</v>
      </c>
      <c r="Z51" s="65" t="str">
        <f>+Tabla15132[[#This Row],[ÁREA QUE CONTRATA ]]</f>
        <v>Sucursal Mocoa</v>
      </c>
      <c r="AA51" s="72" t="s">
        <v>2060</v>
      </c>
      <c r="AB51" s="60"/>
      <c r="AC51" s="60"/>
      <c r="AD51" s="56" t="s">
        <v>1445</v>
      </c>
      <c r="AE51" s="34">
        <v>1</v>
      </c>
      <c r="AF51" s="34">
        <v>1</v>
      </c>
      <c r="AG51" s="35">
        <v>1296000</v>
      </c>
      <c r="AH51" s="36" t="s">
        <v>2061</v>
      </c>
      <c r="AK51" s="81">
        <f>+Tabla15132[[#This Row],[VALOR TOTAL DEL CONTRATO CON IVA (VALOR INICIAL + ADICIONES) ]]-Tabla15132[[#This Row],[VALOR PAGADO (EN PESOS)
(TOTAL VR. FACTURAS)]]</f>
        <v>0</v>
      </c>
    </row>
    <row r="52" spans="1:37" ht="58" x14ac:dyDescent="0.35">
      <c r="A52" s="55" t="s">
        <v>309</v>
      </c>
      <c r="B52" s="2" t="s">
        <v>310</v>
      </c>
      <c r="C52" s="30" t="s">
        <v>344</v>
      </c>
      <c r="D52" s="31" t="s">
        <v>313</v>
      </c>
      <c r="E52" s="96" t="s">
        <v>2062</v>
      </c>
      <c r="F52" s="70">
        <v>45742</v>
      </c>
      <c r="G52" s="30" t="s">
        <v>150</v>
      </c>
      <c r="H52" s="94" t="s">
        <v>2063</v>
      </c>
      <c r="I52" s="32">
        <v>3472493</v>
      </c>
      <c r="J52" s="32">
        <v>512090</v>
      </c>
      <c r="K52" s="47">
        <v>3984583</v>
      </c>
      <c r="L52" s="77" t="s">
        <v>84</v>
      </c>
      <c r="M52" s="54">
        <v>900569385</v>
      </c>
      <c r="N52" s="30" t="s">
        <v>120</v>
      </c>
      <c r="O52" s="2" t="s">
        <v>1042</v>
      </c>
      <c r="P52" s="73" t="s">
        <v>318</v>
      </c>
      <c r="Q52" s="3"/>
      <c r="R52" s="32">
        <f>+Tabla15132[[#This Row],[VALOR INICIAL DEL CONTRATO CON IVA]]+Tabla15132[[#This Row],[VALOR DE LAS ADICIONES CON IVA]]</f>
        <v>3984583</v>
      </c>
      <c r="S52" s="4">
        <f>+Tabla15132[[#This Row],[FECHA TERMINACIÓN INICIAL CONTRATO]]-Tabla15132[[#This Row],[FECHA INICIO CONTRATO]]</f>
        <v>5</v>
      </c>
      <c r="T52" s="24" t="s">
        <v>318</v>
      </c>
      <c r="U52" s="58"/>
      <c r="V52" s="56" t="s">
        <v>318</v>
      </c>
      <c r="W52" s="70">
        <v>45742</v>
      </c>
      <c r="X52" s="70">
        <v>45747</v>
      </c>
      <c r="Y52" s="70">
        <v>45747</v>
      </c>
      <c r="Z52" s="65" t="str">
        <f>+Tabla15132[[#This Row],[ÁREA QUE CONTRATA ]]</f>
        <v>Sucursal Villavicencio</v>
      </c>
      <c r="AA52" s="72" t="s">
        <v>405</v>
      </c>
      <c r="AB52" s="60"/>
      <c r="AC52" s="60"/>
      <c r="AD52" s="56" t="s">
        <v>1445</v>
      </c>
      <c r="AE52" s="34">
        <v>1</v>
      </c>
      <c r="AF52" s="34">
        <v>1</v>
      </c>
      <c r="AG52" s="35">
        <v>3957847.92</v>
      </c>
      <c r="AH52" s="36" t="s">
        <v>2064</v>
      </c>
      <c r="AK52" s="81">
        <f>+Tabla15132[[#This Row],[VALOR TOTAL DEL CONTRATO CON IVA (VALOR INICIAL + ADICIONES) ]]-Tabla15132[[#This Row],[VALOR PAGADO (EN PESOS)
(TOTAL VR. FACTURAS)]]</f>
        <v>26735.080000000075</v>
      </c>
    </row>
    <row r="53" spans="1:37" ht="58" x14ac:dyDescent="0.35">
      <c r="A53" s="55" t="s">
        <v>309</v>
      </c>
      <c r="B53" s="2" t="s">
        <v>310</v>
      </c>
      <c r="C53" s="30" t="s">
        <v>1029</v>
      </c>
      <c r="D53" s="31" t="s">
        <v>714</v>
      </c>
      <c r="E53" s="96" t="s">
        <v>2065</v>
      </c>
      <c r="F53" s="70">
        <v>45742</v>
      </c>
      <c r="G53" s="30" t="s">
        <v>150</v>
      </c>
      <c r="H53" s="94" t="s">
        <v>2066</v>
      </c>
      <c r="I53" s="32">
        <v>4053972</v>
      </c>
      <c r="J53" s="32">
        <v>582594</v>
      </c>
      <c r="K53" s="47">
        <v>4636566</v>
      </c>
      <c r="L53" s="77" t="s">
        <v>84</v>
      </c>
      <c r="M53" s="54">
        <v>901053218</v>
      </c>
      <c r="N53" s="30" t="s">
        <v>108</v>
      </c>
      <c r="O53" s="2" t="s">
        <v>1046</v>
      </c>
      <c r="P53" s="73" t="s">
        <v>318</v>
      </c>
      <c r="Q53" s="3"/>
      <c r="R53" s="32">
        <f>+Tabla15132[[#This Row],[VALOR INICIAL DEL CONTRATO CON IVA]]+Tabla15132[[#This Row],[VALOR DE LAS ADICIONES CON IVA]]</f>
        <v>4636566</v>
      </c>
      <c r="S53" s="4">
        <f>+Tabla15132[[#This Row],[FECHA TERMINACIÓN INICIAL CONTRATO]]-Tabla15132[[#This Row],[FECHA INICIO CONTRATO]]</f>
        <v>0</v>
      </c>
      <c r="T53" s="24" t="s">
        <v>318</v>
      </c>
      <c r="U53" s="58"/>
      <c r="V53" s="56" t="s">
        <v>318</v>
      </c>
      <c r="W53" s="70">
        <v>45743</v>
      </c>
      <c r="X53" s="70">
        <v>45743</v>
      </c>
      <c r="Y53" s="70">
        <v>45743</v>
      </c>
      <c r="Z53" s="65" t="str">
        <f>+Tabla15132[[#This Row],[ÁREA QUE CONTRATA ]]</f>
        <v>Sucursal Tunja</v>
      </c>
      <c r="AA53" s="72" t="s">
        <v>405</v>
      </c>
      <c r="AB53" s="60"/>
      <c r="AC53" s="60"/>
      <c r="AD53" s="56" t="s">
        <v>1445</v>
      </c>
      <c r="AE53" s="34">
        <v>1</v>
      </c>
      <c r="AF53" s="34">
        <v>1</v>
      </c>
      <c r="AG53" s="145">
        <v>0</v>
      </c>
      <c r="AH53" s="36" t="s">
        <v>2067</v>
      </c>
      <c r="AK53" s="81">
        <f>+Tabla15132[[#This Row],[VALOR TOTAL DEL CONTRATO CON IVA (VALOR INICIAL + ADICIONES) ]]-Tabla15132[[#This Row],[VALOR PAGADO (EN PESOS)
(TOTAL VR. FACTURAS)]]</f>
        <v>4636566</v>
      </c>
    </row>
    <row r="54" spans="1:37" ht="58" x14ac:dyDescent="0.35">
      <c r="A54" s="55" t="s">
        <v>309</v>
      </c>
      <c r="B54" s="2" t="s">
        <v>310</v>
      </c>
      <c r="C54" s="30" t="s">
        <v>326</v>
      </c>
      <c r="D54" s="31" t="s">
        <v>714</v>
      </c>
      <c r="E54" s="96" t="s">
        <v>2068</v>
      </c>
      <c r="F54" s="70">
        <v>45742</v>
      </c>
      <c r="G54" s="30" t="s">
        <v>150</v>
      </c>
      <c r="H54" s="94" t="s">
        <v>2069</v>
      </c>
      <c r="I54" s="32">
        <v>4065278</v>
      </c>
      <c r="J54" s="32">
        <v>325222</v>
      </c>
      <c r="K54" s="47">
        <v>4390500</v>
      </c>
      <c r="L54" s="77" t="s">
        <v>96</v>
      </c>
      <c r="M54" s="54">
        <v>50929989</v>
      </c>
      <c r="N54" s="30"/>
      <c r="O54" s="2" t="s">
        <v>2070</v>
      </c>
      <c r="P54" s="73" t="s">
        <v>318</v>
      </c>
      <c r="Q54" s="3"/>
      <c r="R54" s="32">
        <f>+Tabla15132[[#This Row],[VALOR INICIAL DEL CONTRATO CON IVA]]+Tabla15132[[#This Row],[VALOR DE LAS ADICIONES CON IVA]]</f>
        <v>4390500</v>
      </c>
      <c r="S54" s="4">
        <f>+Tabla15132[[#This Row],[FECHA TERMINACIÓN INICIAL CONTRATO]]-Tabla15132[[#This Row],[FECHA INICIO CONTRATO]]</f>
        <v>0</v>
      </c>
      <c r="T54" s="24" t="s">
        <v>318</v>
      </c>
      <c r="U54" s="58"/>
      <c r="V54" s="56" t="s">
        <v>318</v>
      </c>
      <c r="W54" s="70">
        <v>45742</v>
      </c>
      <c r="X54" s="70">
        <v>45742</v>
      </c>
      <c r="Y54" s="70">
        <v>45742</v>
      </c>
      <c r="Z54" s="65" t="str">
        <f>+Tabla15132[[#This Row],[ÁREA QUE CONTRATA ]]</f>
        <v>Sucursal Monteria</v>
      </c>
      <c r="AA54" s="72" t="s">
        <v>405</v>
      </c>
      <c r="AB54" s="60"/>
      <c r="AC54" s="60"/>
      <c r="AD54" s="56" t="s">
        <v>1445</v>
      </c>
      <c r="AE54" s="34">
        <v>1</v>
      </c>
      <c r="AF54" s="34">
        <v>1</v>
      </c>
      <c r="AG54" s="35">
        <v>4065278</v>
      </c>
      <c r="AH54" s="36" t="s">
        <v>2071</v>
      </c>
      <c r="AK54" s="81">
        <f>+Tabla15132[[#This Row],[VALOR TOTAL DEL CONTRATO CON IVA (VALOR INICIAL + ADICIONES) ]]-Tabla15132[[#This Row],[VALOR PAGADO (EN PESOS)
(TOTAL VR. FACTURAS)]]</f>
        <v>325222</v>
      </c>
    </row>
    <row r="55" spans="1:37" ht="29" x14ac:dyDescent="0.35">
      <c r="A55" s="55" t="s">
        <v>309</v>
      </c>
      <c r="B55" s="2" t="s">
        <v>310</v>
      </c>
      <c r="C55" s="30" t="s">
        <v>393</v>
      </c>
      <c r="D55" s="31" t="s">
        <v>714</v>
      </c>
      <c r="E55" s="96" t="s">
        <v>2072</v>
      </c>
      <c r="F55" s="70">
        <v>45747</v>
      </c>
      <c r="G55" s="30" t="s">
        <v>113</v>
      </c>
      <c r="H55" s="94" t="s">
        <v>2073</v>
      </c>
      <c r="I55" s="32">
        <v>3370318</v>
      </c>
      <c r="J55" s="32">
        <v>0</v>
      </c>
      <c r="K55" s="47">
        <v>3370318</v>
      </c>
      <c r="L55" s="77" t="s">
        <v>84</v>
      </c>
      <c r="M55" s="54">
        <v>900250120</v>
      </c>
      <c r="N55" s="30" t="s">
        <v>97</v>
      </c>
      <c r="O55" s="2" t="s">
        <v>1036</v>
      </c>
      <c r="P55" s="73" t="s">
        <v>318</v>
      </c>
      <c r="Q55" s="3"/>
      <c r="R55" s="32">
        <f>+Tabla15132[[#This Row],[VALOR INICIAL DEL CONTRATO CON IVA]]+Tabla15132[[#This Row],[VALOR DE LAS ADICIONES CON IVA]]</f>
        <v>3370318</v>
      </c>
      <c r="S55" s="4">
        <f>+Tabla15132[[#This Row],[FECHA TERMINACIÓN INICIAL CONTRATO]]-Tabla15132[[#This Row],[FECHA INICIO CONTRATO]]</f>
        <v>60</v>
      </c>
      <c r="T55" s="24" t="s">
        <v>318</v>
      </c>
      <c r="U55" s="58"/>
      <c r="V55" s="56" t="s">
        <v>318</v>
      </c>
      <c r="W55" s="70">
        <v>45747</v>
      </c>
      <c r="X55" s="70">
        <v>45807</v>
      </c>
      <c r="Y55" s="70">
        <v>45807</v>
      </c>
      <c r="Z55" s="65" t="str">
        <f>+Tabla15132[[#This Row],[ÁREA QUE CONTRATA ]]</f>
        <v>Sucursal Cali</v>
      </c>
      <c r="AA55" s="72" t="s">
        <v>405</v>
      </c>
      <c r="AB55" s="60"/>
      <c r="AC55" s="60"/>
      <c r="AD55" s="56" t="s">
        <v>1062</v>
      </c>
      <c r="AE55" s="34">
        <v>1</v>
      </c>
      <c r="AF55" s="34">
        <v>1</v>
      </c>
      <c r="AG55" s="35">
        <v>3370318</v>
      </c>
      <c r="AH55" s="36" t="s">
        <v>2074</v>
      </c>
      <c r="AK55" s="81">
        <f>+Tabla15132[[#This Row],[VALOR TOTAL DEL CONTRATO CON IVA (VALOR INICIAL + ADICIONES) ]]-Tabla15132[[#This Row],[VALOR PAGADO (EN PESOS)
(TOTAL VR. FACTURAS)]]</f>
        <v>0</v>
      </c>
    </row>
    <row r="56" spans="1:37" ht="29" x14ac:dyDescent="0.35">
      <c r="A56" s="55" t="s">
        <v>309</v>
      </c>
      <c r="B56" s="2" t="s">
        <v>310</v>
      </c>
      <c r="C56" s="30" t="s">
        <v>344</v>
      </c>
      <c r="D56" s="31" t="s">
        <v>313</v>
      </c>
      <c r="E56" s="96" t="s">
        <v>2075</v>
      </c>
      <c r="F56" s="70">
        <v>45750</v>
      </c>
      <c r="G56" s="30" t="s">
        <v>88</v>
      </c>
      <c r="H56" s="94" t="s">
        <v>2076</v>
      </c>
      <c r="I56" s="32">
        <v>9428571</v>
      </c>
      <c r="J56" s="32">
        <v>1791428</v>
      </c>
      <c r="K56" s="47">
        <v>11219999</v>
      </c>
      <c r="L56" s="77" t="s">
        <v>84</v>
      </c>
      <c r="M56" s="54">
        <v>901118386</v>
      </c>
      <c r="N56" s="30" t="s">
        <v>108</v>
      </c>
      <c r="O56" s="2" t="s">
        <v>2077</v>
      </c>
      <c r="P56" s="73" t="s">
        <v>318</v>
      </c>
      <c r="Q56" s="3"/>
      <c r="R56" s="32">
        <f>+Tabla15132[[#This Row],[VALOR INICIAL DEL CONTRATO CON IVA]]+Tabla15132[[#This Row],[VALOR DE LAS ADICIONES CON IVA]]</f>
        <v>11219999</v>
      </c>
      <c r="S56" s="4">
        <f>+Tabla15132[[#This Row],[FECHA TERMINACIÓN INICIAL CONTRATO]]-Tabla15132[[#This Row],[FECHA INICIO CONTRATO]]</f>
        <v>272</v>
      </c>
      <c r="T56" s="24" t="s">
        <v>318</v>
      </c>
      <c r="U56" s="58"/>
      <c r="V56" s="56" t="s">
        <v>318</v>
      </c>
      <c r="W56" s="70">
        <v>45750</v>
      </c>
      <c r="X56" s="70">
        <v>46022</v>
      </c>
      <c r="Y56" s="70">
        <v>46022</v>
      </c>
      <c r="Z56" s="65" t="str">
        <f>+Tabla15132[[#This Row],[ÁREA QUE CONTRATA ]]</f>
        <v>Sucursal Villavicencio</v>
      </c>
      <c r="AA56" s="72" t="s">
        <v>2060</v>
      </c>
      <c r="AB56" s="60"/>
      <c r="AC56" s="60"/>
      <c r="AD56" s="56" t="s">
        <v>1030</v>
      </c>
      <c r="AE56" s="34">
        <v>0</v>
      </c>
      <c r="AF56" s="34">
        <v>0</v>
      </c>
      <c r="AG56" s="35">
        <v>0</v>
      </c>
      <c r="AH56" s="36" t="s">
        <v>2078</v>
      </c>
      <c r="AK56" s="81">
        <f>+Tabla15132[[#This Row],[VALOR TOTAL DEL CONTRATO CON IVA (VALOR INICIAL + ADICIONES) ]]-Tabla15132[[#This Row],[VALOR PAGADO (EN PESOS)
(TOTAL VR. FACTURAS)]]</f>
        <v>11219999</v>
      </c>
    </row>
    <row r="57" spans="1:37" ht="58" x14ac:dyDescent="0.35">
      <c r="A57" s="55" t="s">
        <v>309</v>
      </c>
      <c r="B57" s="2" t="s">
        <v>310</v>
      </c>
      <c r="C57" s="30" t="s">
        <v>385</v>
      </c>
      <c r="D57" s="31" t="s">
        <v>313</v>
      </c>
      <c r="E57" s="96" t="s">
        <v>2079</v>
      </c>
      <c r="F57" s="70">
        <v>45748</v>
      </c>
      <c r="G57" s="30" t="s">
        <v>150</v>
      </c>
      <c r="H57" s="94" t="s">
        <v>2080</v>
      </c>
      <c r="I57" s="32">
        <v>1740000</v>
      </c>
      <c r="J57" s="32">
        <v>330600</v>
      </c>
      <c r="K57" s="47">
        <v>2070600</v>
      </c>
      <c r="L57" s="77" t="s">
        <v>84</v>
      </c>
      <c r="M57" s="54">
        <v>1102832055</v>
      </c>
      <c r="N57" s="30"/>
      <c r="O57" s="2" t="s">
        <v>2081</v>
      </c>
      <c r="P57" s="73" t="s">
        <v>318</v>
      </c>
      <c r="Q57" s="3"/>
      <c r="R57" s="32">
        <f>+Tabla15132[[#This Row],[VALOR INICIAL DEL CONTRATO CON IVA]]+Tabla15132[[#This Row],[VALOR DE LAS ADICIONES CON IVA]]</f>
        <v>2070600</v>
      </c>
      <c r="S57" s="4">
        <f>+Tabla15132[[#This Row],[FECHA TERMINACIÓN INICIAL CONTRATO]]-Tabla15132[[#This Row],[FECHA INICIO CONTRATO]]</f>
        <v>0</v>
      </c>
      <c r="T57" s="24" t="s">
        <v>318</v>
      </c>
      <c r="U57" s="58"/>
      <c r="V57" s="56" t="s">
        <v>318</v>
      </c>
      <c r="W57" s="70">
        <v>45748</v>
      </c>
      <c r="X57" s="70">
        <v>45748</v>
      </c>
      <c r="Y57" s="70">
        <v>45748</v>
      </c>
      <c r="Z57" s="65" t="str">
        <f>+Tabla15132[[#This Row],[ÁREA QUE CONTRATA ]]</f>
        <v>Sucursal Sincelejo</v>
      </c>
      <c r="AA57" s="72" t="s">
        <v>405</v>
      </c>
      <c r="AB57" s="60"/>
      <c r="AC57" s="60"/>
      <c r="AD57" s="56" t="s">
        <v>1445</v>
      </c>
      <c r="AE57" s="34">
        <v>1</v>
      </c>
      <c r="AF57" s="34">
        <v>1</v>
      </c>
      <c r="AG57" s="35">
        <v>2070600</v>
      </c>
      <c r="AH57" s="36" t="s">
        <v>2082</v>
      </c>
      <c r="AK57" s="81">
        <f>+Tabla15132[[#This Row],[VALOR TOTAL DEL CONTRATO CON IVA (VALOR INICIAL + ADICIONES) ]]-Tabla15132[[#This Row],[VALOR PAGADO (EN PESOS)
(TOTAL VR. FACTURAS)]]</f>
        <v>0</v>
      </c>
    </row>
    <row r="58" spans="1:37" ht="58" x14ac:dyDescent="0.35">
      <c r="A58" s="55" t="s">
        <v>309</v>
      </c>
      <c r="B58" s="2" t="s">
        <v>310</v>
      </c>
      <c r="C58" s="30" t="s">
        <v>389</v>
      </c>
      <c r="D58" s="31" t="s">
        <v>714</v>
      </c>
      <c r="E58" s="96" t="s">
        <v>2083</v>
      </c>
      <c r="F58" s="70">
        <v>45748</v>
      </c>
      <c r="G58" s="30" t="s">
        <v>142</v>
      </c>
      <c r="H58" s="94" t="s">
        <v>2084</v>
      </c>
      <c r="I58" s="32">
        <v>1417500</v>
      </c>
      <c r="J58" s="32">
        <v>269325</v>
      </c>
      <c r="K58" s="47">
        <v>1686825</v>
      </c>
      <c r="L58" s="77" t="s">
        <v>84</v>
      </c>
      <c r="M58" s="54">
        <v>900387450</v>
      </c>
      <c r="N58" s="30" t="s">
        <v>117</v>
      </c>
      <c r="O58" s="2" t="s">
        <v>2085</v>
      </c>
      <c r="P58" s="73" t="s">
        <v>318</v>
      </c>
      <c r="Q58" s="3"/>
      <c r="R58" s="32">
        <f>+Tabla15132[[#This Row],[VALOR INICIAL DEL CONTRATO CON IVA]]+Tabla15132[[#This Row],[VALOR DE LAS ADICIONES CON IVA]]</f>
        <v>1686825</v>
      </c>
      <c r="S58" s="4">
        <f>+Tabla15132[[#This Row],[FECHA TERMINACIÓN INICIAL CONTRATO]]-Tabla15132[[#This Row],[FECHA INICIO CONTRATO]]</f>
        <v>274</v>
      </c>
      <c r="T58" s="24" t="s">
        <v>318</v>
      </c>
      <c r="U58" s="58"/>
      <c r="V58" s="56" t="s">
        <v>318</v>
      </c>
      <c r="W58" s="70">
        <v>45748</v>
      </c>
      <c r="X58" s="70">
        <v>46022</v>
      </c>
      <c r="Y58" s="70">
        <v>46022</v>
      </c>
      <c r="Z58" s="65" t="str">
        <f>+Tabla15132[[#This Row],[ÁREA QUE CONTRATA ]]</f>
        <v>Sucursal Manizales</v>
      </c>
      <c r="AA58" s="72" t="s">
        <v>319</v>
      </c>
      <c r="AB58" s="60"/>
      <c r="AC58" s="60"/>
      <c r="AD58" s="56" t="s">
        <v>1033</v>
      </c>
      <c r="AE58" s="34">
        <v>0</v>
      </c>
      <c r="AF58" s="34">
        <v>0</v>
      </c>
      <c r="AG58" s="35">
        <v>0</v>
      </c>
      <c r="AH58" s="36" t="s">
        <v>2086</v>
      </c>
      <c r="AK58" s="81">
        <f>+Tabla15132[[#This Row],[VALOR TOTAL DEL CONTRATO CON IVA (VALOR INICIAL + ADICIONES) ]]-Tabla15132[[#This Row],[VALOR PAGADO (EN PESOS)
(TOTAL VR. FACTURAS)]]</f>
        <v>1686825</v>
      </c>
    </row>
    <row r="59" spans="1:37" ht="52" x14ac:dyDescent="0.35">
      <c r="A59" s="55" t="s">
        <v>309</v>
      </c>
      <c r="B59" s="2" t="s">
        <v>310</v>
      </c>
      <c r="C59" s="30" t="s">
        <v>341</v>
      </c>
      <c r="D59" s="31" t="s">
        <v>313</v>
      </c>
      <c r="E59" s="96" t="s">
        <v>2087</v>
      </c>
      <c r="F59" s="70">
        <v>45755</v>
      </c>
      <c r="G59" s="30" t="s">
        <v>113</v>
      </c>
      <c r="H59" s="142" t="s">
        <v>2088</v>
      </c>
      <c r="I59" s="32">
        <v>10427377</v>
      </c>
      <c r="J59" s="32">
        <v>1981201</v>
      </c>
      <c r="K59" s="47">
        <v>12408579</v>
      </c>
      <c r="L59" s="77" t="s">
        <v>84</v>
      </c>
      <c r="M59" s="54">
        <v>900660695</v>
      </c>
      <c r="N59" s="30" t="s">
        <v>108</v>
      </c>
      <c r="O59" s="2" t="s">
        <v>2089</v>
      </c>
      <c r="P59" s="73" t="s">
        <v>318</v>
      </c>
      <c r="Q59" s="3"/>
      <c r="R59" s="32">
        <f>+Tabla15132[[#This Row],[VALOR INICIAL DEL CONTRATO CON IVA]]+Tabla15132[[#This Row],[VALOR DE LAS ADICIONES CON IVA]]</f>
        <v>12408579</v>
      </c>
      <c r="S59" s="4">
        <f>+Tabla15132[[#This Row],[FECHA TERMINACIÓN INICIAL CONTRATO]]-Tabla15132[[#This Row],[FECHA INICIO CONTRATO]]</f>
        <v>60</v>
      </c>
      <c r="T59" s="24" t="s">
        <v>318</v>
      </c>
      <c r="U59" s="58"/>
      <c r="V59" s="56" t="s">
        <v>318</v>
      </c>
      <c r="W59" s="70">
        <v>45755</v>
      </c>
      <c r="X59" s="70">
        <v>45815</v>
      </c>
      <c r="Y59" s="70">
        <v>45815</v>
      </c>
      <c r="Z59" s="65" t="str">
        <f>+Tabla15132[[#This Row],[ÁREA QUE CONTRATA ]]</f>
        <v>Sucursal Pereira</v>
      </c>
      <c r="AA59" s="72" t="s">
        <v>405</v>
      </c>
      <c r="AB59" s="60"/>
      <c r="AC59" s="60"/>
      <c r="AD59" s="56" t="s">
        <v>1062</v>
      </c>
      <c r="AE59" s="34">
        <v>1</v>
      </c>
      <c r="AF59" s="34">
        <v>1</v>
      </c>
      <c r="AG59" s="35">
        <v>12408579</v>
      </c>
      <c r="AH59" s="36" t="s">
        <v>2090</v>
      </c>
      <c r="AK59" s="81">
        <f>+Tabla15132[[#This Row],[VALOR TOTAL DEL CONTRATO CON IVA (VALOR INICIAL + ADICIONES) ]]-Tabla15132[[#This Row],[VALOR PAGADO (EN PESOS)
(TOTAL VR. FACTURAS)]]</f>
        <v>0</v>
      </c>
    </row>
    <row r="60" spans="1:37" ht="43.5" x14ac:dyDescent="0.35">
      <c r="A60" s="55" t="s">
        <v>309</v>
      </c>
      <c r="B60" s="2" t="s">
        <v>310</v>
      </c>
      <c r="C60" s="30" t="s">
        <v>1038</v>
      </c>
      <c r="D60" s="31" t="s">
        <v>313</v>
      </c>
      <c r="E60" s="96" t="s">
        <v>2091</v>
      </c>
      <c r="F60" s="70">
        <v>45757</v>
      </c>
      <c r="G60" s="30" t="s">
        <v>142</v>
      </c>
      <c r="H60" s="94" t="s">
        <v>2092</v>
      </c>
      <c r="I60" s="146">
        <v>3010000</v>
      </c>
      <c r="J60" s="32">
        <v>571900</v>
      </c>
      <c r="K60" s="47">
        <v>3581900</v>
      </c>
      <c r="L60" s="77" t="s">
        <v>96</v>
      </c>
      <c r="M60" s="54">
        <v>40927803</v>
      </c>
      <c r="N60" s="30"/>
      <c r="O60" s="2" t="s">
        <v>1055</v>
      </c>
      <c r="P60" s="73" t="s">
        <v>318</v>
      </c>
      <c r="Q60" s="3"/>
      <c r="R60" s="32">
        <f>+Tabla15132[[#This Row],[VALOR INICIAL DEL CONTRATO CON IVA]]+Tabla15132[[#This Row],[VALOR DE LAS ADICIONES CON IVA]]</f>
        <v>3581900</v>
      </c>
      <c r="S60" s="4">
        <f>+Tabla15132[[#This Row],[FECHA TERMINACIÓN INICIAL CONTRATO]]-Tabla15132[[#This Row],[FECHA INICIO CONTRATO]]</f>
        <v>244</v>
      </c>
      <c r="T60" s="24" t="s">
        <v>318</v>
      </c>
      <c r="U60" s="58"/>
      <c r="V60" s="56" t="s">
        <v>318</v>
      </c>
      <c r="W60" s="70">
        <v>45757</v>
      </c>
      <c r="X60" s="70">
        <v>46001</v>
      </c>
      <c r="Y60" s="70">
        <v>46001</v>
      </c>
      <c r="Z60" s="65" t="str">
        <f>+Tabla15132[[#This Row],[ÁREA QUE CONTRATA ]]</f>
        <v>Sucursal Riohacha</v>
      </c>
      <c r="AA60" s="72" t="s">
        <v>319</v>
      </c>
      <c r="AB60" s="60"/>
      <c r="AC60" s="60"/>
      <c r="AD60" s="56" t="s">
        <v>1033</v>
      </c>
      <c r="AE60" s="34">
        <v>0.5</v>
      </c>
      <c r="AF60" s="34">
        <v>0.5</v>
      </c>
      <c r="AG60" s="35">
        <v>1790950</v>
      </c>
      <c r="AH60" s="36" t="s">
        <v>2093</v>
      </c>
      <c r="AK60" s="81">
        <f>+Tabla15132[[#This Row],[VALOR TOTAL DEL CONTRATO CON IVA (VALOR INICIAL + ADICIONES) ]]-Tabla15132[[#This Row],[VALOR PAGADO (EN PESOS)
(TOTAL VR. FACTURAS)]]</f>
        <v>1790950</v>
      </c>
    </row>
    <row r="61" spans="1:37" ht="29" x14ac:dyDescent="0.35">
      <c r="A61" s="55" t="s">
        <v>309</v>
      </c>
      <c r="B61" s="2" t="s">
        <v>310</v>
      </c>
      <c r="C61" s="30" t="s">
        <v>353</v>
      </c>
      <c r="D61" s="31" t="s">
        <v>313</v>
      </c>
      <c r="E61" s="96" t="s">
        <v>2094</v>
      </c>
      <c r="F61" s="70">
        <v>45757</v>
      </c>
      <c r="G61" s="30" t="s">
        <v>113</v>
      </c>
      <c r="H61" s="94" t="s">
        <v>2095</v>
      </c>
      <c r="I61" s="32">
        <v>5375088</v>
      </c>
      <c r="J61" s="32">
        <v>0</v>
      </c>
      <c r="K61" s="47">
        <v>5375088</v>
      </c>
      <c r="L61" s="77" t="s">
        <v>84</v>
      </c>
      <c r="M61" s="54">
        <v>890930614</v>
      </c>
      <c r="N61" s="30" t="s">
        <v>91</v>
      </c>
      <c r="O61" s="2" t="s">
        <v>2096</v>
      </c>
      <c r="P61" s="73" t="s">
        <v>318</v>
      </c>
      <c r="Q61" s="3"/>
      <c r="R61" s="32">
        <f>+Tabla15132[[#This Row],[VALOR INICIAL DEL CONTRATO CON IVA]]+Tabla15132[[#This Row],[VALOR DE LAS ADICIONES CON IVA]]</f>
        <v>5375088</v>
      </c>
      <c r="S61" s="4">
        <f>+Tabla15132[[#This Row],[FECHA TERMINACIÓN INICIAL CONTRATO]]-Tabla15132[[#This Row],[FECHA INICIO CONTRATO]]</f>
        <v>30</v>
      </c>
      <c r="T61" s="24" t="s">
        <v>318</v>
      </c>
      <c r="U61" s="58"/>
      <c r="V61" s="56" t="s">
        <v>318</v>
      </c>
      <c r="W61" s="70">
        <v>45757</v>
      </c>
      <c r="X61" s="70">
        <v>45787</v>
      </c>
      <c r="Y61" s="70">
        <v>45787</v>
      </c>
      <c r="Z61" s="65" t="str">
        <f>+Tabla15132[[#This Row],[ÁREA QUE CONTRATA ]]</f>
        <v>Sucursal Medellin</v>
      </c>
      <c r="AA61" s="72" t="s">
        <v>405</v>
      </c>
      <c r="AB61" s="60"/>
      <c r="AC61" s="60"/>
      <c r="AD61" s="56" t="s">
        <v>1062</v>
      </c>
      <c r="AE61" s="34">
        <v>1</v>
      </c>
      <c r="AF61" s="34">
        <v>1</v>
      </c>
      <c r="AG61" s="35">
        <v>5375088</v>
      </c>
      <c r="AH61" s="36" t="s">
        <v>2097</v>
      </c>
      <c r="AK61" s="81">
        <f>+Tabla15132[[#This Row],[VALOR TOTAL DEL CONTRATO CON IVA (VALOR INICIAL + ADICIONES) ]]-Tabla15132[[#This Row],[VALOR PAGADO (EN PESOS)
(TOTAL VR. FACTURAS)]]</f>
        <v>0</v>
      </c>
    </row>
    <row r="62" spans="1:37" ht="29" x14ac:dyDescent="0.35">
      <c r="A62" s="55" t="s">
        <v>309</v>
      </c>
      <c r="B62" s="2" t="s">
        <v>310</v>
      </c>
      <c r="C62" s="30" t="s">
        <v>353</v>
      </c>
      <c r="D62" s="31" t="s">
        <v>313</v>
      </c>
      <c r="E62" s="96" t="s">
        <v>2098</v>
      </c>
      <c r="F62" s="70">
        <v>45758</v>
      </c>
      <c r="G62" s="30" t="s">
        <v>150</v>
      </c>
      <c r="H62" s="94" t="s">
        <v>2099</v>
      </c>
      <c r="I62" s="32">
        <v>1268400</v>
      </c>
      <c r="J62" s="32">
        <v>11476</v>
      </c>
      <c r="K62" s="47">
        <v>1279876</v>
      </c>
      <c r="L62" s="77" t="s">
        <v>84</v>
      </c>
      <c r="M62" s="54">
        <v>901251344</v>
      </c>
      <c r="N62" s="30" t="s">
        <v>103</v>
      </c>
      <c r="O62" s="2" t="s">
        <v>1037</v>
      </c>
      <c r="P62" s="73" t="s">
        <v>318</v>
      </c>
      <c r="Q62" s="3"/>
      <c r="R62" s="32">
        <f>+Tabla15132[[#This Row],[VALOR INICIAL DEL CONTRATO CON IVA]]+Tabla15132[[#This Row],[VALOR DE LAS ADICIONES CON IVA]]</f>
        <v>1279876</v>
      </c>
      <c r="S62" s="4">
        <f>+Tabla15132[[#This Row],[FECHA TERMINACIÓN INICIAL CONTRATO]]-Tabla15132[[#This Row],[FECHA INICIO CONTRATO]]</f>
        <v>30</v>
      </c>
      <c r="T62" s="24" t="s">
        <v>318</v>
      </c>
      <c r="U62" s="58"/>
      <c r="V62" s="56" t="s">
        <v>318</v>
      </c>
      <c r="W62" s="70">
        <v>45758</v>
      </c>
      <c r="X62" s="70">
        <v>45788</v>
      </c>
      <c r="Y62" s="70">
        <v>45788</v>
      </c>
      <c r="Z62" s="65" t="str">
        <f>+Tabla15132[[#This Row],[ÁREA QUE CONTRATA ]]</f>
        <v>Sucursal Medellin</v>
      </c>
      <c r="AA62" s="72" t="s">
        <v>405</v>
      </c>
      <c r="AB62" s="60"/>
      <c r="AC62" s="60"/>
      <c r="AD62" s="56" t="s">
        <v>1774</v>
      </c>
      <c r="AE62" s="34">
        <v>1</v>
      </c>
      <c r="AF62" s="34">
        <v>1</v>
      </c>
      <c r="AG62" s="35">
        <v>1279876</v>
      </c>
      <c r="AH62" s="36" t="s">
        <v>2100</v>
      </c>
      <c r="AK62" s="81">
        <f>+Tabla15132[[#This Row],[VALOR TOTAL DEL CONTRATO CON IVA (VALOR INICIAL + ADICIONES) ]]-Tabla15132[[#This Row],[VALOR PAGADO (EN PESOS)
(TOTAL VR. FACTURAS)]]</f>
        <v>0</v>
      </c>
    </row>
    <row r="63" spans="1:37" ht="43.5" x14ac:dyDescent="0.35">
      <c r="A63" s="55" t="s">
        <v>309</v>
      </c>
      <c r="B63" s="2" t="s">
        <v>310</v>
      </c>
      <c r="C63" s="2" t="s">
        <v>381</v>
      </c>
      <c r="D63" s="31" t="s">
        <v>313</v>
      </c>
      <c r="E63" s="96" t="s">
        <v>2101</v>
      </c>
      <c r="F63" s="70">
        <v>45762</v>
      </c>
      <c r="G63" s="30" t="s">
        <v>142</v>
      </c>
      <c r="H63" s="94" t="s">
        <v>2102</v>
      </c>
      <c r="I63" s="38">
        <v>12179202</v>
      </c>
      <c r="J63" s="38">
        <v>2314048</v>
      </c>
      <c r="K63" s="7">
        <v>14493250</v>
      </c>
      <c r="L63" s="147" t="s">
        <v>84</v>
      </c>
      <c r="M63" s="67">
        <v>900035638</v>
      </c>
      <c r="N63" s="37" t="s">
        <v>108</v>
      </c>
      <c r="O63" s="1" t="s">
        <v>2103</v>
      </c>
      <c r="P63" s="73" t="s">
        <v>318</v>
      </c>
      <c r="Q63" s="3">
        <v>0</v>
      </c>
      <c r="R63" s="32">
        <f>+Tabla15132[[#This Row],[VALOR INICIAL DEL CONTRATO CON IVA]]+Tabla15132[[#This Row],[VALOR DE LAS ADICIONES CON IVA]]</f>
        <v>14493250</v>
      </c>
      <c r="S63" s="4">
        <f>+Tabla15132[[#This Row],[FECHA TERMINACIÓN INICIAL CONTRATO]]-Tabla15132[[#This Row],[FECHA INICIO CONTRATO]]</f>
        <v>259</v>
      </c>
      <c r="T63" s="24" t="s">
        <v>318</v>
      </c>
      <c r="U63" s="58"/>
      <c r="V63" s="56" t="s">
        <v>318</v>
      </c>
      <c r="W63" s="70">
        <v>45763</v>
      </c>
      <c r="X63" s="70">
        <v>46022</v>
      </c>
      <c r="Y63" s="70">
        <v>46022</v>
      </c>
      <c r="Z63" s="65" t="str">
        <f>+Tabla15132[[#This Row],[ÁREA QUE CONTRATA ]]</f>
        <v>Sucursal Bucaramanga</v>
      </c>
      <c r="AA63" s="72" t="s">
        <v>319</v>
      </c>
      <c r="AB63" s="60"/>
      <c r="AC63" s="60"/>
      <c r="AD63" s="56" t="s">
        <v>1033</v>
      </c>
      <c r="AE63" s="34">
        <v>0.29249999999999998</v>
      </c>
      <c r="AF63" s="34">
        <v>0.29249999999999998</v>
      </c>
      <c r="AG63" s="35">
        <v>4238780</v>
      </c>
      <c r="AH63" s="36" t="s">
        <v>2104</v>
      </c>
      <c r="AK63" s="81">
        <f>+Tabla15132[[#This Row],[VALOR TOTAL DEL CONTRATO CON IVA (VALOR INICIAL + ADICIONES) ]]-Tabla15132[[#This Row],[VALOR PAGADO (EN PESOS)
(TOTAL VR. FACTURAS)]]</f>
        <v>10254470</v>
      </c>
    </row>
    <row r="64" spans="1:37" ht="43.5" x14ac:dyDescent="0.35">
      <c r="A64" s="55" t="s">
        <v>309</v>
      </c>
      <c r="B64" s="2" t="s">
        <v>310</v>
      </c>
      <c r="C64" s="30" t="s">
        <v>358</v>
      </c>
      <c r="D64" s="31" t="s">
        <v>313</v>
      </c>
      <c r="E64" s="96" t="s">
        <v>2105</v>
      </c>
      <c r="F64" s="70">
        <v>45772</v>
      </c>
      <c r="G64" s="30" t="s">
        <v>142</v>
      </c>
      <c r="H64" s="94" t="s">
        <v>2106</v>
      </c>
      <c r="I64" s="32">
        <v>1912248</v>
      </c>
      <c r="J64" s="32">
        <v>363327</v>
      </c>
      <c r="K64" s="47">
        <v>2275575</v>
      </c>
      <c r="L64" s="77" t="s">
        <v>84</v>
      </c>
      <c r="M64" s="54">
        <v>901148532</v>
      </c>
      <c r="N64" s="30" t="s">
        <v>91</v>
      </c>
      <c r="O64" s="2" t="s">
        <v>1040</v>
      </c>
      <c r="P64" s="73" t="s">
        <v>318</v>
      </c>
      <c r="Q64" s="3"/>
      <c r="R64" s="32">
        <f>+Tabla15132[[#This Row],[VALOR INICIAL DEL CONTRATO CON IVA]]+Tabla15132[[#This Row],[VALOR DE LAS ADICIONES CON IVA]]</f>
        <v>2275575</v>
      </c>
      <c r="S64" s="4">
        <f>+Tabla15132[[#This Row],[FECHA TERMINACIÓN INICIAL CONTRATO]]-Tabla15132[[#This Row],[FECHA INICIO CONTRATO]]</f>
        <v>245</v>
      </c>
      <c r="T64" s="24" t="s">
        <v>318</v>
      </c>
      <c r="U64" s="58"/>
      <c r="V64" s="56" t="s">
        <v>318</v>
      </c>
      <c r="W64" s="70">
        <v>45777</v>
      </c>
      <c r="X64" s="70">
        <v>46022</v>
      </c>
      <c r="Y64" s="70">
        <v>46022</v>
      </c>
      <c r="Z64" s="65" t="str">
        <f>+Tabla15132[[#This Row],[ÁREA QUE CONTRATA ]]</f>
        <v>Sucursal Neiva</v>
      </c>
      <c r="AA64" s="72" t="s">
        <v>319</v>
      </c>
      <c r="AB64" s="60"/>
      <c r="AC64" s="60"/>
      <c r="AD64" s="56" t="s">
        <v>1033</v>
      </c>
      <c r="AE64" s="34">
        <v>0.625</v>
      </c>
      <c r="AF64" s="34">
        <v>0.375</v>
      </c>
      <c r="AG64" s="35">
        <v>706860</v>
      </c>
      <c r="AH64" s="36" t="s">
        <v>2107</v>
      </c>
      <c r="AK64" s="148">
        <f>+Tabla15132[[#This Row],[VALOR TOTAL DEL CONTRATO CON IVA (VALOR INICIAL + ADICIONES) ]]-Tabla15132[[#This Row],[VALOR PAGADO (EN PESOS)
(TOTAL VR. FACTURAS)]]</f>
        <v>1568715</v>
      </c>
    </row>
    <row r="65" spans="1:37" ht="58" x14ac:dyDescent="0.35">
      <c r="A65" s="55" t="s">
        <v>309</v>
      </c>
      <c r="B65" s="2" t="s">
        <v>310</v>
      </c>
      <c r="C65" s="30" t="s">
        <v>1035</v>
      </c>
      <c r="D65" s="31" t="s">
        <v>313</v>
      </c>
      <c r="E65" s="96" t="s">
        <v>2108</v>
      </c>
      <c r="F65" s="70">
        <v>45741</v>
      </c>
      <c r="G65" s="30" t="s">
        <v>150</v>
      </c>
      <c r="H65" s="94" t="s">
        <v>2109</v>
      </c>
      <c r="I65" s="32">
        <v>1926909</v>
      </c>
      <c r="J65" s="32">
        <v>451991</v>
      </c>
      <c r="K65" s="47">
        <v>2378900</v>
      </c>
      <c r="L65" s="77" t="s">
        <v>84</v>
      </c>
      <c r="M65" s="54">
        <v>891200431</v>
      </c>
      <c r="N65" s="30" t="s">
        <v>97</v>
      </c>
      <c r="O65" s="2" t="s">
        <v>1043</v>
      </c>
      <c r="P65" s="73" t="s">
        <v>318</v>
      </c>
      <c r="Q65" s="3"/>
      <c r="R65" s="32">
        <f>+Tabla15132[[#This Row],[VALOR INICIAL DEL CONTRATO CON IVA]]+Tabla15132[[#This Row],[VALOR DE LAS ADICIONES CON IVA]]</f>
        <v>2378900</v>
      </c>
      <c r="S65" s="4">
        <f>+Tabla15132[[#This Row],[FECHA TERMINACIÓN INICIAL CONTRATO]]-Tabla15132[[#This Row],[FECHA INICIO CONTRATO]]</f>
        <v>0</v>
      </c>
      <c r="T65" s="24" t="s">
        <v>318</v>
      </c>
      <c r="U65" s="58"/>
      <c r="V65" s="56" t="s">
        <v>318</v>
      </c>
      <c r="W65" s="70">
        <v>45743</v>
      </c>
      <c r="X65" s="70">
        <v>45743</v>
      </c>
      <c r="Y65" s="70">
        <v>45743</v>
      </c>
      <c r="Z65" s="65" t="str">
        <f>+Tabla15132[[#This Row],[ÁREA QUE CONTRATA ]]</f>
        <v>Sucursal Pasto</v>
      </c>
      <c r="AA65" s="72" t="s">
        <v>405</v>
      </c>
      <c r="AB65" s="60"/>
      <c r="AC65" s="60"/>
      <c r="AD65" s="56" t="s">
        <v>1445</v>
      </c>
      <c r="AE65" s="34">
        <v>1</v>
      </c>
      <c r="AF65" s="34">
        <v>1</v>
      </c>
      <c r="AG65" s="35">
        <v>2341500</v>
      </c>
      <c r="AH65" s="36" t="s">
        <v>2110</v>
      </c>
      <c r="AK65" s="81">
        <f>+Tabla15132[[#This Row],[VALOR TOTAL DEL CONTRATO CON IVA (VALOR INICIAL + ADICIONES) ]]-Tabla15132[[#This Row],[VALOR PAGADO (EN PESOS)
(TOTAL VR. FACTURAS)]]</f>
        <v>37400</v>
      </c>
    </row>
    <row r="66" spans="1:37" ht="29" x14ac:dyDescent="0.35">
      <c r="A66" s="55" t="s">
        <v>309</v>
      </c>
      <c r="B66" s="2" t="s">
        <v>310</v>
      </c>
      <c r="C66" s="30" t="s">
        <v>1032</v>
      </c>
      <c r="D66" s="31" t="s">
        <v>313</v>
      </c>
      <c r="E66" s="96" t="s">
        <v>2111</v>
      </c>
      <c r="F66" s="70">
        <v>45775</v>
      </c>
      <c r="G66" s="30" t="s">
        <v>113</v>
      </c>
      <c r="H66" s="94" t="s">
        <v>2112</v>
      </c>
      <c r="I66" s="32">
        <v>3160000</v>
      </c>
      <c r="J66" s="32">
        <v>0</v>
      </c>
      <c r="K66" s="47">
        <v>3160000</v>
      </c>
      <c r="L66" s="77" t="s">
        <v>96</v>
      </c>
      <c r="M66" s="54">
        <v>5348893</v>
      </c>
      <c r="N66" s="30"/>
      <c r="O66" s="2" t="s">
        <v>1039</v>
      </c>
      <c r="P66" s="73" t="s">
        <v>318</v>
      </c>
      <c r="Q66" s="3"/>
      <c r="R66" s="32">
        <f>+Tabla15132[[#This Row],[VALOR INICIAL DEL CONTRATO CON IVA]]+Tabla15132[[#This Row],[VALOR DE LAS ADICIONES CON IVA]]</f>
        <v>3160000</v>
      </c>
      <c r="S66" s="4">
        <f>+Tabla15132[[#This Row],[FECHA TERMINACIÓN INICIAL CONTRATO]]-Tabla15132[[#This Row],[FECHA INICIO CONTRATO]]</f>
        <v>10</v>
      </c>
      <c r="T66" s="24" t="s">
        <v>318</v>
      </c>
      <c r="U66" s="58"/>
      <c r="V66" s="56" t="s">
        <v>318</v>
      </c>
      <c r="W66" s="70">
        <v>45779</v>
      </c>
      <c r="X66" s="70">
        <v>45789</v>
      </c>
      <c r="Y66" s="70">
        <v>45789</v>
      </c>
      <c r="Z66" s="65" t="str">
        <f>+Tabla15132[[#This Row],[ÁREA QUE CONTRATA ]]</f>
        <v>Sucursal Yopal</v>
      </c>
      <c r="AA66" s="72" t="s">
        <v>405</v>
      </c>
      <c r="AB66" s="60"/>
      <c r="AC66" s="60"/>
      <c r="AD66" s="56" t="s">
        <v>1062</v>
      </c>
      <c r="AE66" s="34">
        <v>1</v>
      </c>
      <c r="AF66" s="34">
        <v>1</v>
      </c>
      <c r="AG66" s="35">
        <v>3160000</v>
      </c>
      <c r="AH66" s="36" t="s">
        <v>2113</v>
      </c>
      <c r="AK66" s="81">
        <f>+Tabla15132[[#This Row],[VALOR TOTAL DEL CONTRATO CON IVA (VALOR INICIAL + ADICIONES) ]]-Tabla15132[[#This Row],[VALOR PAGADO (EN PESOS)
(TOTAL VR. FACTURAS)]]</f>
        <v>0</v>
      </c>
    </row>
    <row r="67" spans="1:37" ht="29" x14ac:dyDescent="0.35">
      <c r="A67" s="55" t="s">
        <v>309</v>
      </c>
      <c r="B67" s="2" t="s">
        <v>310</v>
      </c>
      <c r="C67" s="30" t="s">
        <v>1032</v>
      </c>
      <c r="D67" s="31" t="s">
        <v>313</v>
      </c>
      <c r="E67" s="96" t="s">
        <v>2114</v>
      </c>
      <c r="F67" s="70">
        <v>45776</v>
      </c>
      <c r="G67" s="30" t="s">
        <v>150</v>
      </c>
      <c r="H67" s="94" t="s">
        <v>2115</v>
      </c>
      <c r="I67" s="32">
        <v>6500000</v>
      </c>
      <c r="J67" s="32">
        <v>1235000</v>
      </c>
      <c r="K67" s="47">
        <v>7735000</v>
      </c>
      <c r="L67" s="77" t="s">
        <v>84</v>
      </c>
      <c r="M67" s="54">
        <v>901446210</v>
      </c>
      <c r="N67" s="30" t="s">
        <v>103</v>
      </c>
      <c r="O67" s="2" t="s">
        <v>1957</v>
      </c>
      <c r="P67" s="73" t="s">
        <v>317</v>
      </c>
      <c r="Q67" s="3">
        <v>5664400</v>
      </c>
      <c r="R67" s="32">
        <f>+Tabla15132[[#This Row],[VALOR INICIAL DEL CONTRATO CON IVA]]+Tabla15132[[#This Row],[VALOR DE LAS ADICIONES CON IVA]]</f>
        <v>13399400</v>
      </c>
      <c r="S67" s="4">
        <f>+Tabla15132[[#This Row],[FECHA TERMINACIÓN INICIAL CONTRATO]]-Tabla15132[[#This Row],[FECHA INICIO CONTRATO]]</f>
        <v>5</v>
      </c>
      <c r="T67" s="24" t="s">
        <v>317</v>
      </c>
      <c r="U67" s="58">
        <f>+Tabla15132[[#This Row],[FECHA FINAL DEL CONTRATO]]-Tabla15132[[#This Row],[FECHA TERMINACIÓN INICIAL CONTRATO]]</f>
        <v>9</v>
      </c>
      <c r="V67" s="56" t="s">
        <v>318</v>
      </c>
      <c r="W67" s="70">
        <v>45780</v>
      </c>
      <c r="X67" s="70">
        <v>45785</v>
      </c>
      <c r="Y67" s="70">
        <v>45794</v>
      </c>
      <c r="Z67" s="65" t="str">
        <f>+Tabla15132[[#This Row],[ÁREA QUE CONTRATA ]]</f>
        <v>Sucursal Yopal</v>
      </c>
      <c r="AA67" s="72" t="s">
        <v>405</v>
      </c>
      <c r="AB67" s="60"/>
      <c r="AC67" s="60"/>
      <c r="AD67" s="56" t="s">
        <v>1614</v>
      </c>
      <c r="AE67" s="34">
        <v>1</v>
      </c>
      <c r="AF67" s="34">
        <v>1</v>
      </c>
      <c r="AG67" s="35">
        <v>13399400</v>
      </c>
      <c r="AH67" s="75" t="s">
        <v>2116</v>
      </c>
      <c r="AK67" s="81">
        <f>+Tabla15132[[#This Row],[VALOR TOTAL DEL CONTRATO CON IVA (VALOR INICIAL + ADICIONES) ]]-Tabla15132[[#This Row],[VALOR PAGADO (EN PESOS)
(TOTAL VR. FACTURAS)]]</f>
        <v>0</v>
      </c>
    </row>
    <row r="68" spans="1:37" ht="29" x14ac:dyDescent="0.35">
      <c r="A68" s="55" t="s">
        <v>309</v>
      </c>
      <c r="B68" s="2" t="s">
        <v>310</v>
      </c>
      <c r="C68" s="30" t="s">
        <v>677</v>
      </c>
      <c r="D68" s="31" t="s">
        <v>714</v>
      </c>
      <c r="E68" s="96" t="s">
        <v>2117</v>
      </c>
      <c r="F68" s="70">
        <v>45776</v>
      </c>
      <c r="G68" s="30" t="s">
        <v>113</v>
      </c>
      <c r="H68" s="94" t="s">
        <v>2118</v>
      </c>
      <c r="I68" s="32">
        <v>6120000</v>
      </c>
      <c r="J68" s="32">
        <v>48450</v>
      </c>
      <c r="K68" s="47">
        <v>6168450</v>
      </c>
      <c r="L68" s="77" t="s">
        <v>84</v>
      </c>
      <c r="M68" s="54">
        <v>901662155</v>
      </c>
      <c r="N68" s="30" t="s">
        <v>91</v>
      </c>
      <c r="O68" s="2" t="s">
        <v>1060</v>
      </c>
      <c r="P68" s="73" t="s">
        <v>318</v>
      </c>
      <c r="Q68" s="3"/>
      <c r="R68" s="32">
        <f>+Tabla15132[[#This Row],[VALOR INICIAL DEL CONTRATO CON IVA]]+Tabla15132[[#This Row],[VALOR DE LAS ADICIONES CON IVA]]</f>
        <v>6168450</v>
      </c>
      <c r="S68" s="4">
        <f>+Tabla15132[[#This Row],[FECHA TERMINACIÓN INICIAL CONTRATO]]-Tabla15132[[#This Row],[FECHA INICIO CONTRATO]]</f>
        <v>9</v>
      </c>
      <c r="T68" s="24" t="s">
        <v>318</v>
      </c>
      <c r="U68" s="58"/>
      <c r="V68" s="56" t="s">
        <v>318</v>
      </c>
      <c r="W68" s="70">
        <v>45776</v>
      </c>
      <c r="X68" s="70">
        <v>45785</v>
      </c>
      <c r="Y68" s="70">
        <v>45785</v>
      </c>
      <c r="Z68" s="65" t="str">
        <f>+Tabla15132[[#This Row],[ÁREA QUE CONTRATA ]]</f>
        <v>Sucursal Florencia</v>
      </c>
      <c r="AA68" s="72" t="s">
        <v>405</v>
      </c>
      <c r="AB68" s="60"/>
      <c r="AC68" s="60"/>
      <c r="AD68" s="56" t="s">
        <v>1774</v>
      </c>
      <c r="AE68" s="34">
        <v>1</v>
      </c>
      <c r="AF68" s="34">
        <v>1</v>
      </c>
      <c r="AG68" s="35">
        <v>6168450</v>
      </c>
      <c r="AH68" s="36" t="s">
        <v>2119</v>
      </c>
      <c r="AK68" s="81">
        <f>+Tabla15132[[#This Row],[VALOR TOTAL DEL CONTRATO CON IVA (VALOR INICIAL + ADICIONES) ]]-Tabla15132[[#This Row],[VALOR PAGADO (EN PESOS)
(TOTAL VR. FACTURAS)]]</f>
        <v>0</v>
      </c>
    </row>
    <row r="69" spans="1:37" ht="29" x14ac:dyDescent="0.35">
      <c r="A69" s="55" t="s">
        <v>309</v>
      </c>
      <c r="B69" s="2" t="s">
        <v>310</v>
      </c>
      <c r="C69" s="30" t="s">
        <v>426</v>
      </c>
      <c r="D69" s="31" t="s">
        <v>313</v>
      </c>
      <c r="E69" s="96" t="s">
        <v>2120</v>
      </c>
      <c r="F69" s="70">
        <v>45776</v>
      </c>
      <c r="G69" s="30" t="s">
        <v>113</v>
      </c>
      <c r="H69" s="94" t="s">
        <v>2121</v>
      </c>
      <c r="I69" s="32">
        <v>15536400</v>
      </c>
      <c r="J69" s="32">
        <v>2951916</v>
      </c>
      <c r="K69" s="47">
        <v>18488316</v>
      </c>
      <c r="L69" s="77" t="s">
        <v>84</v>
      </c>
      <c r="M69" s="54">
        <v>900009456</v>
      </c>
      <c r="N69" s="30" t="s">
        <v>114</v>
      </c>
      <c r="O69" s="2" t="s">
        <v>2122</v>
      </c>
      <c r="P69" s="73" t="s">
        <v>318</v>
      </c>
      <c r="Q69" s="3"/>
      <c r="R69" s="32">
        <v>18488316</v>
      </c>
      <c r="S69" s="4">
        <f>+Tabla15132[[#This Row],[FECHA TERMINACIÓN INICIAL CONTRATO]]-Tabla15132[[#This Row],[FECHA INICIO CONTRATO]]</f>
        <v>10</v>
      </c>
      <c r="T69" s="24" t="s">
        <v>318</v>
      </c>
      <c r="U69" s="58"/>
      <c r="V69" s="56" t="s">
        <v>318</v>
      </c>
      <c r="W69" s="70">
        <v>45776</v>
      </c>
      <c r="X69" s="70">
        <v>45786</v>
      </c>
      <c r="Y69" s="70">
        <v>45786</v>
      </c>
      <c r="Z69" s="65" t="str">
        <f>+Tabla15132[[#This Row],[ÁREA QUE CONTRATA ]]</f>
        <v>Sucursal Cúcuta</v>
      </c>
      <c r="AA69" s="72" t="s">
        <v>405</v>
      </c>
      <c r="AB69" s="60"/>
      <c r="AC69" s="60"/>
      <c r="AD69" s="56" t="s">
        <v>1614</v>
      </c>
      <c r="AE69" s="34">
        <v>1</v>
      </c>
      <c r="AF69" s="34">
        <v>1</v>
      </c>
      <c r="AG69" s="35">
        <v>18488316</v>
      </c>
      <c r="AH69" s="36" t="s">
        <v>2123</v>
      </c>
      <c r="AK69" s="81">
        <f>+Tabla15132[[#This Row],[VALOR TOTAL DEL CONTRATO CON IVA (VALOR INICIAL + ADICIONES) ]]-Tabla15132[[#This Row],[VALOR PAGADO (EN PESOS)
(TOTAL VR. FACTURAS)]]</f>
        <v>0</v>
      </c>
    </row>
    <row r="70" spans="1:37" ht="58" x14ac:dyDescent="0.35">
      <c r="A70" s="55" t="s">
        <v>309</v>
      </c>
      <c r="B70" s="2" t="s">
        <v>310</v>
      </c>
      <c r="C70" s="2" t="s">
        <v>321</v>
      </c>
      <c r="D70" s="31" t="s">
        <v>313</v>
      </c>
      <c r="E70" s="96" t="s">
        <v>2124</v>
      </c>
      <c r="F70" s="70">
        <v>45777</v>
      </c>
      <c r="G70" s="30" t="s">
        <v>113</v>
      </c>
      <c r="H70" s="94" t="s">
        <v>2125</v>
      </c>
      <c r="I70" s="32">
        <v>3740000</v>
      </c>
      <c r="J70" s="32">
        <v>0</v>
      </c>
      <c r="K70" s="47">
        <v>3740000</v>
      </c>
      <c r="L70" s="77" t="s">
        <v>96</v>
      </c>
      <c r="M70" s="54">
        <v>5348893</v>
      </c>
      <c r="N70" s="30"/>
      <c r="O70" s="2" t="s">
        <v>1039</v>
      </c>
      <c r="P70" s="73" t="s">
        <v>318</v>
      </c>
      <c r="Q70" s="3"/>
      <c r="R70" s="32">
        <f>+Tabla15132[[#This Row],[VALOR INICIAL DEL CONTRATO CON IVA]]+Tabla15132[[#This Row],[VALOR DE LAS ADICIONES CON IVA]]</f>
        <v>3740000</v>
      </c>
      <c r="S70" s="4">
        <f>+Tabla15132[[#This Row],[FECHA TERMINACIÓN INICIAL CONTRATO]]-Tabla15132[[#This Row],[FECHA INICIO CONTRATO]]</f>
        <v>20</v>
      </c>
      <c r="T70" s="24" t="s">
        <v>318</v>
      </c>
      <c r="U70" s="58"/>
      <c r="V70" s="56" t="s">
        <v>318</v>
      </c>
      <c r="W70" s="70">
        <v>45777</v>
      </c>
      <c r="X70" s="70">
        <v>45797</v>
      </c>
      <c r="Y70" s="70">
        <v>45797</v>
      </c>
      <c r="Z70" s="65" t="str">
        <f>+Tabla15132[[#This Row],[ÁREA QUE CONTRATA ]]</f>
        <v>Sucursal Ibagué</v>
      </c>
      <c r="AA70" s="72" t="s">
        <v>405</v>
      </c>
      <c r="AB70" s="60"/>
      <c r="AC70" s="60"/>
      <c r="AD70" s="56" t="s">
        <v>2126</v>
      </c>
      <c r="AE70" s="34">
        <v>1</v>
      </c>
      <c r="AF70" s="34">
        <v>1</v>
      </c>
      <c r="AG70" s="35">
        <v>3740000</v>
      </c>
      <c r="AH70" s="36" t="s">
        <v>2127</v>
      </c>
      <c r="AK70" s="81">
        <f>+Tabla15132[[#This Row],[VALOR TOTAL DEL CONTRATO CON IVA (VALOR INICIAL + ADICIONES) ]]-Tabla15132[[#This Row],[VALOR PAGADO (EN PESOS)
(TOTAL VR. FACTURAS)]]</f>
        <v>0</v>
      </c>
    </row>
    <row r="71" spans="1:37" ht="29" x14ac:dyDescent="0.35">
      <c r="A71" s="55" t="s">
        <v>309</v>
      </c>
      <c r="B71" s="2" t="s">
        <v>310</v>
      </c>
      <c r="C71" s="30" t="s">
        <v>385</v>
      </c>
      <c r="D71" s="31" t="s">
        <v>313</v>
      </c>
      <c r="E71" s="96" t="s">
        <v>2128</v>
      </c>
      <c r="F71" s="70">
        <v>45777</v>
      </c>
      <c r="G71" s="30" t="s">
        <v>113</v>
      </c>
      <c r="H71" s="94" t="s">
        <v>2129</v>
      </c>
      <c r="I71" s="32">
        <v>4621848</v>
      </c>
      <c r="J71" s="32">
        <v>878151</v>
      </c>
      <c r="K71" s="47">
        <v>5499999</v>
      </c>
      <c r="L71" s="77" t="s">
        <v>96</v>
      </c>
      <c r="M71" s="54">
        <v>4144948</v>
      </c>
      <c r="N71" s="30"/>
      <c r="O71" s="2" t="s">
        <v>2130</v>
      </c>
      <c r="P71" s="73" t="s">
        <v>318</v>
      </c>
      <c r="Q71" s="3"/>
      <c r="R71" s="32">
        <f>+Tabla15132[[#This Row],[VALOR INICIAL DEL CONTRATO CON IVA]]+Tabla15132[[#This Row],[VALOR DE LAS ADICIONES CON IVA]]</f>
        <v>5499999</v>
      </c>
      <c r="S71" s="4">
        <f>+Tabla15132[[#This Row],[FECHA TERMINACIÓN INICIAL CONTRATO]]-Tabla15132[[#This Row],[FECHA INICIO CONTRATO]]</f>
        <v>15</v>
      </c>
      <c r="T71" s="24" t="s">
        <v>318</v>
      </c>
      <c r="U71" s="58"/>
      <c r="V71" s="56" t="s">
        <v>318</v>
      </c>
      <c r="W71" s="70">
        <v>45790</v>
      </c>
      <c r="X71" s="70">
        <v>45805</v>
      </c>
      <c r="Y71" s="70">
        <v>45805</v>
      </c>
      <c r="Z71" s="65" t="str">
        <f>+Tabla15132[[#This Row],[ÁREA QUE CONTRATA ]]</f>
        <v>Sucursal Sincelejo</v>
      </c>
      <c r="AA71" s="72" t="s">
        <v>405</v>
      </c>
      <c r="AB71" s="60"/>
      <c r="AC71" s="60"/>
      <c r="AD71" s="56" t="s">
        <v>1062</v>
      </c>
      <c r="AE71" s="34">
        <v>1</v>
      </c>
      <c r="AF71" s="34">
        <v>1</v>
      </c>
      <c r="AG71" s="35">
        <v>5499999</v>
      </c>
      <c r="AH71" s="36" t="s">
        <v>2131</v>
      </c>
      <c r="AK71" s="81">
        <f>+Tabla15132[[#This Row],[VALOR TOTAL DEL CONTRATO CON IVA (VALOR INICIAL + ADICIONES) ]]-Tabla15132[[#This Row],[VALOR PAGADO (EN PESOS)
(TOTAL VR. FACTURAS)]]</f>
        <v>0</v>
      </c>
    </row>
    <row r="72" spans="1:37" ht="58" x14ac:dyDescent="0.35">
      <c r="A72" s="55" t="s">
        <v>309</v>
      </c>
      <c r="B72" s="2" t="s">
        <v>310</v>
      </c>
      <c r="C72" s="30" t="s">
        <v>426</v>
      </c>
      <c r="D72" s="31" t="s">
        <v>313</v>
      </c>
      <c r="E72" s="96" t="s">
        <v>2132</v>
      </c>
      <c r="F72" s="70">
        <v>45777</v>
      </c>
      <c r="G72" s="30" t="s">
        <v>113</v>
      </c>
      <c r="H72" s="94" t="s">
        <v>2133</v>
      </c>
      <c r="I72" s="32">
        <v>12803023</v>
      </c>
      <c r="J72" s="32">
        <v>1075974</v>
      </c>
      <c r="K72" s="47">
        <v>13878997</v>
      </c>
      <c r="L72" s="77" t="s">
        <v>84</v>
      </c>
      <c r="M72" s="54">
        <v>807002365</v>
      </c>
      <c r="N72" s="30" t="s">
        <v>91</v>
      </c>
      <c r="O72" s="2" t="s">
        <v>1061</v>
      </c>
      <c r="P72" s="73" t="s">
        <v>318</v>
      </c>
      <c r="Q72" s="3"/>
      <c r="R72" s="32">
        <v>13878997</v>
      </c>
      <c r="S72" s="4">
        <f>+Tabla15132[[#This Row],[FECHA TERMINACIÓN INICIAL CONTRATO]]-Tabla15132[[#This Row],[FECHA INICIO CONTRATO]]</f>
        <v>10</v>
      </c>
      <c r="T72" s="24" t="s">
        <v>318</v>
      </c>
      <c r="U72" s="58"/>
      <c r="V72" s="56" t="s">
        <v>318</v>
      </c>
      <c r="W72" s="70">
        <v>45777</v>
      </c>
      <c r="X72" s="70">
        <v>45787</v>
      </c>
      <c r="Y72" s="70">
        <v>45787</v>
      </c>
      <c r="Z72" s="65" t="str">
        <f>+Tabla15132[[#This Row],[ÁREA QUE CONTRATA ]]</f>
        <v>Sucursal Cúcuta</v>
      </c>
      <c r="AA72" s="72" t="s">
        <v>405</v>
      </c>
      <c r="AB72" s="60"/>
      <c r="AC72" s="60"/>
      <c r="AD72" s="56" t="s">
        <v>2134</v>
      </c>
      <c r="AE72" s="34">
        <v>1</v>
      </c>
      <c r="AF72" s="34">
        <v>1</v>
      </c>
      <c r="AG72" s="35">
        <v>13878997</v>
      </c>
      <c r="AH72" s="36" t="s">
        <v>2135</v>
      </c>
      <c r="AK72" s="81">
        <f>+Tabla15132[[#This Row],[VALOR TOTAL DEL CONTRATO CON IVA (VALOR INICIAL + ADICIONES) ]]-Tabla15132[[#This Row],[VALOR PAGADO (EN PESOS)
(TOTAL VR. FACTURAS)]]</f>
        <v>0</v>
      </c>
    </row>
    <row r="73" spans="1:37" ht="58" x14ac:dyDescent="0.35">
      <c r="A73" s="55" t="s">
        <v>309</v>
      </c>
      <c r="B73" s="2" t="s">
        <v>310</v>
      </c>
      <c r="C73" s="2" t="s">
        <v>716</v>
      </c>
      <c r="D73" s="31" t="s">
        <v>714</v>
      </c>
      <c r="E73" s="96" t="s">
        <v>2136</v>
      </c>
      <c r="F73" s="70">
        <v>45742</v>
      </c>
      <c r="G73" s="30" t="s">
        <v>150</v>
      </c>
      <c r="H73" s="94" t="s">
        <v>2137</v>
      </c>
      <c r="I73" s="32">
        <v>1589437</v>
      </c>
      <c r="J73" s="32">
        <v>184863</v>
      </c>
      <c r="K73" s="47">
        <v>1774300</v>
      </c>
      <c r="L73" s="77" t="s">
        <v>84</v>
      </c>
      <c r="M73" s="54">
        <v>891600091</v>
      </c>
      <c r="N73" s="30" t="s">
        <v>120</v>
      </c>
      <c r="O73" s="2" t="s">
        <v>1070</v>
      </c>
      <c r="P73" s="73" t="s">
        <v>318</v>
      </c>
      <c r="Q73" s="3"/>
      <c r="R73" s="32">
        <f>+Tabla15132[[#This Row],[VALOR INICIAL DEL CONTRATO CON IVA]]+Tabla15132[[#This Row],[VALOR DE LAS ADICIONES CON IVA]]</f>
        <v>1774300</v>
      </c>
      <c r="S73" s="4">
        <f>+Tabla15132[[#This Row],[FECHA TERMINACIÓN INICIAL CONTRATO]]-Tabla15132[[#This Row],[FECHA INICIO CONTRATO]]</f>
        <v>0</v>
      </c>
      <c r="T73" s="24" t="s">
        <v>318</v>
      </c>
      <c r="U73" s="58"/>
      <c r="V73" s="56" t="s">
        <v>318</v>
      </c>
      <c r="W73" s="70">
        <v>45742</v>
      </c>
      <c r="X73" s="70">
        <v>45742</v>
      </c>
      <c r="Y73" s="70">
        <v>45742</v>
      </c>
      <c r="Z73" s="65" t="str">
        <f>+Tabla15132[[#This Row],[ÁREA QUE CONTRATA ]]</f>
        <v>Sucursal Quibdo</v>
      </c>
      <c r="AA73" s="72" t="s">
        <v>405</v>
      </c>
      <c r="AB73" s="60"/>
      <c r="AC73" s="60"/>
      <c r="AD73" s="56" t="s">
        <v>1445</v>
      </c>
      <c r="AE73" s="34">
        <v>1</v>
      </c>
      <c r="AF73" s="34">
        <v>1</v>
      </c>
      <c r="AG73" s="35">
        <v>1774300</v>
      </c>
      <c r="AH73" s="36" t="s">
        <v>2138</v>
      </c>
      <c r="AK73" s="81"/>
    </row>
    <row r="74" spans="1:37" ht="29" x14ac:dyDescent="0.35">
      <c r="A74" s="55" t="s">
        <v>309</v>
      </c>
      <c r="B74" s="2" t="s">
        <v>310</v>
      </c>
      <c r="C74" s="2" t="s">
        <v>1038</v>
      </c>
      <c r="D74" s="31" t="s">
        <v>313</v>
      </c>
      <c r="E74" s="96" t="s">
        <v>2139</v>
      </c>
      <c r="F74" s="70">
        <v>45783</v>
      </c>
      <c r="G74" s="30" t="s">
        <v>113</v>
      </c>
      <c r="H74" s="94" t="s">
        <v>2140</v>
      </c>
      <c r="I74" s="32">
        <v>3730000</v>
      </c>
      <c r="J74" s="32">
        <v>0</v>
      </c>
      <c r="K74" s="47">
        <v>3730000</v>
      </c>
      <c r="L74" s="77" t="s">
        <v>96</v>
      </c>
      <c r="M74" s="54">
        <v>84035828</v>
      </c>
      <c r="N74" s="30"/>
      <c r="O74" s="2" t="s">
        <v>2141</v>
      </c>
      <c r="P74" s="73" t="s">
        <v>318</v>
      </c>
      <c r="Q74" s="3"/>
      <c r="R74" s="32">
        <f>+Tabla15132[[#This Row],[VALOR INICIAL DEL CONTRATO CON IVA]]+Tabla15132[[#This Row],[VALOR DE LAS ADICIONES CON IVA]]</f>
        <v>3730000</v>
      </c>
      <c r="S74" s="4">
        <f>+Tabla15132[[#This Row],[FECHA TERMINACIÓN INICIAL CONTRATO]]-Tabla15132[[#This Row],[FECHA INICIO CONTRATO]]</f>
        <v>31</v>
      </c>
      <c r="T74" s="24" t="s">
        <v>318</v>
      </c>
      <c r="U74" s="58"/>
      <c r="V74" s="56" t="s">
        <v>318</v>
      </c>
      <c r="W74" s="70">
        <v>45783</v>
      </c>
      <c r="X74" s="70">
        <v>45814</v>
      </c>
      <c r="Y74" s="70">
        <v>45814</v>
      </c>
      <c r="Z74" s="65" t="str">
        <f>+Tabla15132[[#This Row],[ÁREA QUE CONTRATA ]]</f>
        <v>Sucursal Riohacha</v>
      </c>
      <c r="AA74" s="72" t="s">
        <v>405</v>
      </c>
      <c r="AB74" s="60"/>
      <c r="AC74" s="60"/>
      <c r="AD74" s="56" t="s">
        <v>1062</v>
      </c>
      <c r="AE74" s="34">
        <v>1</v>
      </c>
      <c r="AF74" s="34">
        <v>1</v>
      </c>
      <c r="AG74" s="35">
        <v>3730000</v>
      </c>
      <c r="AH74" s="36" t="s">
        <v>2142</v>
      </c>
      <c r="AK74" s="81">
        <f>+Tabla15132[[#This Row],[VALOR TOTAL DEL CONTRATO CON IVA (VALOR INICIAL + ADICIONES) ]]-Tabla15132[[#This Row],[VALOR PAGADO (EN PESOS)
(TOTAL VR. FACTURAS)]]</f>
        <v>0</v>
      </c>
    </row>
    <row r="75" spans="1:37" ht="43.5" x14ac:dyDescent="0.35">
      <c r="A75" s="55" t="s">
        <v>309</v>
      </c>
      <c r="B75" s="2" t="s">
        <v>310</v>
      </c>
      <c r="C75" s="2" t="s">
        <v>403</v>
      </c>
      <c r="D75" s="31" t="s">
        <v>313</v>
      </c>
      <c r="E75" s="96" t="s">
        <v>2143</v>
      </c>
      <c r="F75" s="70">
        <v>45776</v>
      </c>
      <c r="G75" s="30" t="s">
        <v>142</v>
      </c>
      <c r="H75" s="94" t="s">
        <v>2144</v>
      </c>
      <c r="I75" s="32">
        <v>2800000</v>
      </c>
      <c r="J75" s="32">
        <v>0</v>
      </c>
      <c r="K75" s="47">
        <v>2800000</v>
      </c>
      <c r="L75" s="77" t="s">
        <v>96</v>
      </c>
      <c r="M75" s="54">
        <v>5348893</v>
      </c>
      <c r="N75" s="30"/>
      <c r="O75" s="2" t="s">
        <v>1039</v>
      </c>
      <c r="P75" s="73" t="s">
        <v>318</v>
      </c>
      <c r="Q75" s="3"/>
      <c r="R75" s="32">
        <f>+Tabla15132[[#This Row],[VALOR INICIAL DEL CONTRATO CON IVA]]+Tabla15132[[#This Row],[VALOR DE LAS ADICIONES CON IVA]]</f>
        <v>2800000</v>
      </c>
      <c r="S75" s="4">
        <f>+Tabla15132[[#This Row],[FECHA TERMINACIÓN INICIAL CONTRATO]]-Tabla15132[[#This Row],[FECHA INICIO CONTRATO]]</f>
        <v>243</v>
      </c>
      <c r="T75" s="24" t="s">
        <v>318</v>
      </c>
      <c r="U75" s="58"/>
      <c r="V75" s="56" t="s">
        <v>318</v>
      </c>
      <c r="W75" s="70">
        <v>45779</v>
      </c>
      <c r="X75" s="70">
        <v>46022</v>
      </c>
      <c r="Y75" s="70">
        <v>46022</v>
      </c>
      <c r="Z75" s="65" t="str">
        <f>+Tabla15132[[#This Row],[ÁREA QUE CONTRATA ]]</f>
        <v>Sucursal Mocoa</v>
      </c>
      <c r="AA75" s="72" t="s">
        <v>319</v>
      </c>
      <c r="AB75" s="60"/>
      <c r="AC75" s="60"/>
      <c r="AD75" s="56" t="s">
        <v>1033</v>
      </c>
      <c r="AE75" s="34">
        <v>0.5</v>
      </c>
      <c r="AF75" s="34">
        <v>0.5</v>
      </c>
      <c r="AG75" s="35">
        <v>2100000</v>
      </c>
      <c r="AH75" s="36" t="s">
        <v>2145</v>
      </c>
      <c r="AK75" s="81">
        <f>+Tabla15132[[#This Row],[VALOR TOTAL DEL CONTRATO CON IVA (VALOR INICIAL + ADICIONES) ]]-Tabla15132[[#This Row],[VALOR PAGADO (EN PESOS)
(TOTAL VR. FACTURAS)]]</f>
        <v>700000</v>
      </c>
    </row>
    <row r="76" spans="1:37" ht="43.5" x14ac:dyDescent="0.35">
      <c r="A76" s="55" t="s">
        <v>309</v>
      </c>
      <c r="B76" s="2" t="s">
        <v>310</v>
      </c>
      <c r="C76" s="2" t="s">
        <v>341</v>
      </c>
      <c r="D76" s="31" t="s">
        <v>714</v>
      </c>
      <c r="E76" s="96" t="s">
        <v>2146</v>
      </c>
      <c r="F76" s="70">
        <v>45797</v>
      </c>
      <c r="G76" s="30" t="s">
        <v>142</v>
      </c>
      <c r="H76" s="142" t="s">
        <v>2147</v>
      </c>
      <c r="I76" s="32">
        <v>3336000</v>
      </c>
      <c r="J76" s="32">
        <v>633840</v>
      </c>
      <c r="K76" s="47">
        <v>3969840</v>
      </c>
      <c r="L76" s="77" t="s">
        <v>84</v>
      </c>
      <c r="M76" s="54">
        <v>901203058</v>
      </c>
      <c r="N76" s="30" t="s">
        <v>117</v>
      </c>
      <c r="O76" s="2" t="s">
        <v>2148</v>
      </c>
      <c r="P76" s="73" t="s">
        <v>318</v>
      </c>
      <c r="Q76" s="3"/>
      <c r="R76" s="32">
        <f>+Tabla15132[[#This Row],[VALOR INICIAL DEL CONTRATO CON IVA]]+Tabla15132[[#This Row],[VALOR DE LAS ADICIONES CON IVA]]</f>
        <v>3969840</v>
      </c>
      <c r="S76" s="4">
        <f>+Tabla15132[[#This Row],[FECHA TERMINACIÓN INICIAL CONTRATO]]-Tabla15132[[#This Row],[FECHA INICIO CONTRATO]]</f>
        <v>225</v>
      </c>
      <c r="T76" s="24" t="s">
        <v>318</v>
      </c>
      <c r="U76" s="58"/>
      <c r="V76" s="56" t="s">
        <v>318</v>
      </c>
      <c r="W76" s="70">
        <v>45797</v>
      </c>
      <c r="X76" s="70">
        <v>46022</v>
      </c>
      <c r="Y76" s="70">
        <v>46022</v>
      </c>
      <c r="Z76" s="65" t="str">
        <f>+Tabla15132[[#This Row],[ÁREA QUE CONTRATA ]]</f>
        <v>Sucursal Pereira</v>
      </c>
      <c r="AA76" s="72" t="s">
        <v>319</v>
      </c>
      <c r="AB76" s="60"/>
      <c r="AC76" s="60"/>
      <c r="AD76" s="56" t="s">
        <v>1033</v>
      </c>
      <c r="AE76" s="34">
        <v>1.3299999999999999E-2</v>
      </c>
      <c r="AF76" s="34">
        <v>0.1467</v>
      </c>
      <c r="AG76" s="35">
        <v>727090</v>
      </c>
      <c r="AH76" s="36" t="s">
        <v>2149</v>
      </c>
      <c r="AK76" s="81">
        <f>+Tabla15132[[#This Row],[VALOR TOTAL DEL CONTRATO CON IVA (VALOR INICIAL + ADICIONES) ]]-Tabla15132[[#This Row],[VALOR PAGADO (EN PESOS)
(TOTAL VR. FACTURAS)]]</f>
        <v>3242750</v>
      </c>
    </row>
    <row r="77" spans="1:37" ht="29" x14ac:dyDescent="0.35">
      <c r="A77" s="55" t="s">
        <v>309</v>
      </c>
      <c r="B77" s="2" t="s">
        <v>310</v>
      </c>
      <c r="C77" s="2" t="s">
        <v>326</v>
      </c>
      <c r="D77" s="31" t="s">
        <v>714</v>
      </c>
      <c r="E77" s="96" t="s">
        <v>2150</v>
      </c>
      <c r="F77" s="70">
        <v>45799</v>
      </c>
      <c r="G77" s="30" t="s">
        <v>150</v>
      </c>
      <c r="H77" s="94" t="s">
        <v>2151</v>
      </c>
      <c r="I77" s="38">
        <v>5000000</v>
      </c>
      <c r="J77" s="38">
        <v>0</v>
      </c>
      <c r="K77" s="7">
        <v>5000000</v>
      </c>
      <c r="L77" s="147" t="s">
        <v>96</v>
      </c>
      <c r="M77" s="67">
        <v>79468945</v>
      </c>
      <c r="N77" s="37"/>
      <c r="O77" s="1" t="s">
        <v>1942</v>
      </c>
      <c r="P77" s="73" t="s">
        <v>318</v>
      </c>
      <c r="Q77" s="3"/>
      <c r="R77" s="32">
        <f>+Tabla15132[[#This Row],[VALOR INICIAL DEL CONTRATO CON IVA]]+Tabla15132[[#This Row],[VALOR DE LAS ADICIONES CON IVA]]</f>
        <v>5000000</v>
      </c>
      <c r="S77" s="4">
        <f>+Tabla15132[[#This Row],[FECHA TERMINACIÓN INICIAL CONTRATO]]-Tabla15132[[#This Row],[FECHA INICIO CONTRATO]]</f>
        <v>223</v>
      </c>
      <c r="T77" s="24" t="s">
        <v>318</v>
      </c>
      <c r="U77" s="58"/>
      <c r="V77" s="56" t="s">
        <v>318</v>
      </c>
      <c r="W77" s="70">
        <v>45799</v>
      </c>
      <c r="X77" s="70">
        <v>46022</v>
      </c>
      <c r="Y77" s="70">
        <v>46022</v>
      </c>
      <c r="Z77" s="65" t="str">
        <f>+Tabla15132[[#This Row],[ÁREA QUE CONTRATA ]]</f>
        <v>Sucursal Monteria</v>
      </c>
      <c r="AA77" s="72" t="s">
        <v>319</v>
      </c>
      <c r="AB77" s="60"/>
      <c r="AC77" s="60"/>
      <c r="AD77" s="56" t="s">
        <v>1052</v>
      </c>
      <c r="AE77" s="34">
        <v>3.4200000000000001E-2</v>
      </c>
      <c r="AF77" s="34">
        <v>3.4200000000000001E-2</v>
      </c>
      <c r="AG77" s="35"/>
      <c r="AH77" s="36" t="s">
        <v>2152</v>
      </c>
      <c r="AK77" s="81">
        <f>+Tabla15132[[#This Row],[VALOR TOTAL DEL CONTRATO CON IVA (VALOR INICIAL + ADICIONES) ]]-Tabla15132[[#This Row],[VALOR PAGADO (EN PESOS)
(TOTAL VR. FACTURAS)]]</f>
        <v>5000000</v>
      </c>
    </row>
    <row r="78" spans="1:37" ht="29" x14ac:dyDescent="0.35">
      <c r="A78" s="55" t="s">
        <v>309</v>
      </c>
      <c r="B78" s="2" t="s">
        <v>310</v>
      </c>
      <c r="C78" s="2" t="s">
        <v>321</v>
      </c>
      <c r="D78" s="31" t="s">
        <v>714</v>
      </c>
      <c r="E78" s="96" t="s">
        <v>2153</v>
      </c>
      <c r="F78" s="70">
        <v>45800</v>
      </c>
      <c r="G78" s="30" t="s">
        <v>113</v>
      </c>
      <c r="H78" s="94" t="s">
        <v>2154</v>
      </c>
      <c r="I78" s="32">
        <v>250000</v>
      </c>
      <c r="J78" s="32">
        <v>47500</v>
      </c>
      <c r="K78" s="47">
        <v>297500</v>
      </c>
      <c r="L78" s="77" t="s">
        <v>84</v>
      </c>
      <c r="M78" s="54">
        <v>900581931</v>
      </c>
      <c r="N78" s="30" t="s">
        <v>123</v>
      </c>
      <c r="O78" s="2" t="s">
        <v>2155</v>
      </c>
      <c r="P78" s="73" t="s">
        <v>318</v>
      </c>
      <c r="Q78" s="3"/>
      <c r="R78" s="32">
        <f>+Tabla15132[[#This Row],[VALOR INICIAL DEL CONTRATO CON IVA]]+Tabla15132[[#This Row],[VALOR DE LAS ADICIONES CON IVA]]</f>
        <v>297500</v>
      </c>
      <c r="S78" s="4">
        <f>+Tabla15132[[#This Row],[FECHA TERMINACIÓN INICIAL CONTRATO]]-Tabla15132[[#This Row],[FECHA INICIO CONTRATO]]</f>
        <v>10</v>
      </c>
      <c r="T78" s="24" t="s">
        <v>318</v>
      </c>
      <c r="U78" s="58"/>
      <c r="V78" s="56" t="s">
        <v>318</v>
      </c>
      <c r="W78" s="70">
        <v>45803</v>
      </c>
      <c r="X78" s="70">
        <v>45813</v>
      </c>
      <c r="Y78" s="70">
        <v>45813</v>
      </c>
      <c r="Z78" s="65" t="str">
        <f>+Tabla15132[[#This Row],[ÁREA QUE CONTRATA ]]</f>
        <v>Sucursal Ibagué</v>
      </c>
      <c r="AA78" s="72" t="s">
        <v>405</v>
      </c>
      <c r="AB78" s="60"/>
      <c r="AC78" s="60"/>
      <c r="AD78" s="56" t="s">
        <v>1614</v>
      </c>
      <c r="AE78" s="34">
        <v>1</v>
      </c>
      <c r="AF78" s="34">
        <v>1</v>
      </c>
      <c r="AG78" s="35">
        <v>297500</v>
      </c>
      <c r="AH78" s="36" t="s">
        <v>2156</v>
      </c>
      <c r="AK78" s="81">
        <f>+Tabla15132[[#This Row],[VALOR TOTAL DEL CONTRATO CON IVA (VALOR INICIAL + ADICIONES) ]]-Tabla15132[[#This Row],[VALOR PAGADO (EN PESOS)
(TOTAL VR. FACTURAS)]]</f>
        <v>0</v>
      </c>
    </row>
    <row r="79" spans="1:37" ht="43.5" x14ac:dyDescent="0.35">
      <c r="A79" s="55" t="s">
        <v>309</v>
      </c>
      <c r="B79" s="2" t="s">
        <v>310</v>
      </c>
      <c r="C79" s="2" t="s">
        <v>349</v>
      </c>
      <c r="D79" s="31" t="s">
        <v>313</v>
      </c>
      <c r="E79" s="96" t="s">
        <v>2157</v>
      </c>
      <c r="F79" s="70">
        <v>45805</v>
      </c>
      <c r="G79" s="30" t="s">
        <v>142</v>
      </c>
      <c r="H79" s="94" t="s">
        <v>2158</v>
      </c>
      <c r="I79" s="38">
        <v>4568526</v>
      </c>
      <c r="J79" s="38">
        <v>868020</v>
      </c>
      <c r="K79" s="7">
        <v>5436546</v>
      </c>
      <c r="L79" s="147" t="s">
        <v>84</v>
      </c>
      <c r="M79" s="67">
        <v>901190231</v>
      </c>
      <c r="N79" s="37" t="s">
        <v>117</v>
      </c>
      <c r="O79" s="1" t="s">
        <v>1048</v>
      </c>
      <c r="P79" s="73" t="s">
        <v>318</v>
      </c>
      <c r="Q79" s="3"/>
      <c r="R79" s="32">
        <f>+Tabla15132[[#This Row],[VALOR INICIAL DEL CONTRATO CON IVA]]+Tabla15132[[#This Row],[VALOR DE LAS ADICIONES CON IVA]]</f>
        <v>5436546</v>
      </c>
      <c r="S79" s="4">
        <f>+Tabla15132[[#This Row],[FECHA TERMINACIÓN INICIAL CONTRATO]]-Tabla15132[[#This Row],[FECHA INICIO CONTRATO]]</f>
        <v>217</v>
      </c>
      <c r="T79" s="24" t="s">
        <v>318</v>
      </c>
      <c r="U79" s="58"/>
      <c r="V79" s="56" t="s">
        <v>318</v>
      </c>
      <c r="W79" s="70">
        <v>45805</v>
      </c>
      <c r="X79" s="70">
        <v>46022</v>
      </c>
      <c r="Y79" s="70">
        <v>46022</v>
      </c>
      <c r="Z79" s="65" t="str">
        <f>+Tabla15132[[#This Row],[ÁREA QUE CONTRATA ]]</f>
        <v>Sucursal Cartagena</v>
      </c>
      <c r="AA79" s="72" t="s">
        <v>319</v>
      </c>
      <c r="AB79" s="60"/>
      <c r="AC79" s="60"/>
      <c r="AD79" s="56" t="s">
        <v>1033</v>
      </c>
      <c r="AE79" s="34">
        <v>0.28999999999999998</v>
      </c>
      <c r="AF79" s="34">
        <v>0</v>
      </c>
      <c r="AG79" s="35">
        <v>0</v>
      </c>
      <c r="AH79" s="36" t="s">
        <v>2159</v>
      </c>
      <c r="AK79" s="81">
        <f>+Tabla15132[[#This Row],[VALOR TOTAL DEL CONTRATO CON IVA (VALOR INICIAL + ADICIONES) ]]-Tabla15132[[#This Row],[VALOR PAGADO (EN PESOS)
(TOTAL VR. FACTURAS)]]</f>
        <v>5436546</v>
      </c>
    </row>
    <row r="80" spans="1:37" ht="43.5" x14ac:dyDescent="0.35">
      <c r="A80" s="55" t="s">
        <v>309</v>
      </c>
      <c r="B80" s="2" t="s">
        <v>310</v>
      </c>
      <c r="C80" s="2" t="s">
        <v>349</v>
      </c>
      <c r="D80" s="31" t="s">
        <v>313</v>
      </c>
      <c r="E80" s="96" t="s">
        <v>2160</v>
      </c>
      <c r="F80" s="70">
        <v>45806</v>
      </c>
      <c r="G80" s="30" t="s">
        <v>142</v>
      </c>
      <c r="H80" s="94" t="s">
        <v>2161</v>
      </c>
      <c r="I80" s="38">
        <v>4176996</v>
      </c>
      <c r="J80" s="38">
        <v>793629</v>
      </c>
      <c r="K80" s="7">
        <v>4970625</v>
      </c>
      <c r="L80" s="147" t="s">
        <v>84</v>
      </c>
      <c r="M80" s="67">
        <v>901343896</v>
      </c>
      <c r="N80" s="37" t="s">
        <v>97</v>
      </c>
      <c r="O80" s="1" t="s">
        <v>2162</v>
      </c>
      <c r="P80" s="73" t="s">
        <v>318</v>
      </c>
      <c r="Q80" s="3"/>
      <c r="R80" s="32">
        <f>+Tabla15132[[#This Row],[VALOR INICIAL DEL CONTRATO CON IVA]]+Tabla15132[[#This Row],[VALOR DE LAS ADICIONES CON IVA]]</f>
        <v>4970625</v>
      </c>
      <c r="S80" s="4">
        <f>+Tabla15132[[#This Row],[FECHA TERMINACIÓN INICIAL CONTRATO]]-Tabla15132[[#This Row],[FECHA INICIO CONTRATO]]</f>
        <v>216</v>
      </c>
      <c r="T80" s="24" t="s">
        <v>318</v>
      </c>
      <c r="U80" s="58"/>
      <c r="V80" s="56" t="s">
        <v>318</v>
      </c>
      <c r="W80" s="70">
        <v>45806</v>
      </c>
      <c r="X80" s="70">
        <v>46022</v>
      </c>
      <c r="Y80" s="70">
        <v>46022</v>
      </c>
      <c r="Z80" s="65" t="str">
        <f>+Tabla15132[[#This Row],[ÁREA QUE CONTRATA ]]</f>
        <v>Sucursal Cartagena</v>
      </c>
      <c r="AA80" s="72" t="s">
        <v>319</v>
      </c>
      <c r="AB80" s="60"/>
      <c r="AC80" s="60"/>
      <c r="AD80" s="56" t="s">
        <v>1033</v>
      </c>
      <c r="AE80" s="34">
        <v>0.28999999999999998</v>
      </c>
      <c r="AF80" s="34">
        <v>0</v>
      </c>
      <c r="AG80" s="35">
        <v>0</v>
      </c>
      <c r="AH80" s="36" t="s">
        <v>2163</v>
      </c>
      <c r="AK80" s="81">
        <f>+Tabla15132[[#This Row],[VALOR TOTAL DEL CONTRATO CON IVA (VALOR INICIAL + ADICIONES) ]]-Tabla15132[[#This Row],[VALOR PAGADO (EN PESOS)
(TOTAL VR. FACTURAS)]]</f>
        <v>4970625</v>
      </c>
    </row>
    <row r="81" spans="1:37" ht="29" x14ac:dyDescent="0.35">
      <c r="A81" s="55" t="s">
        <v>309</v>
      </c>
      <c r="B81" s="2" t="s">
        <v>310</v>
      </c>
      <c r="C81" s="2" t="s">
        <v>381</v>
      </c>
      <c r="D81" s="31" t="s">
        <v>313</v>
      </c>
      <c r="E81" s="96" t="s">
        <v>2164</v>
      </c>
      <c r="F81" s="70">
        <v>45807</v>
      </c>
      <c r="G81" s="30" t="s">
        <v>88</v>
      </c>
      <c r="H81" s="94" t="s">
        <v>2165</v>
      </c>
      <c r="I81" s="38">
        <v>2600000</v>
      </c>
      <c r="J81" s="38">
        <v>494000</v>
      </c>
      <c r="K81" s="7">
        <v>3094000</v>
      </c>
      <c r="L81" s="147" t="s">
        <v>96</v>
      </c>
      <c r="M81" s="67">
        <v>91282210</v>
      </c>
      <c r="N81" s="37"/>
      <c r="O81" s="1" t="s">
        <v>2166</v>
      </c>
      <c r="P81" s="73" t="s">
        <v>318</v>
      </c>
      <c r="Q81" s="3">
        <v>0</v>
      </c>
      <c r="R81" s="32">
        <f>+Tabla15132[[#This Row],[VALOR INICIAL DEL CONTRATO CON IVA]]+Tabla15132[[#This Row],[VALOR DE LAS ADICIONES CON IVA]]</f>
        <v>3094000</v>
      </c>
      <c r="S81" s="4">
        <f>+Tabla15132[[#This Row],[FECHA TERMINACIÓN INICIAL CONTRATO]]-Tabla15132[[#This Row],[FECHA INICIO CONTRATO]]</f>
        <v>215</v>
      </c>
      <c r="T81" s="24" t="s">
        <v>318</v>
      </c>
      <c r="U81" s="58"/>
      <c r="V81" s="56" t="s">
        <v>318</v>
      </c>
      <c r="W81" s="70">
        <v>45807</v>
      </c>
      <c r="X81" s="70">
        <v>46022</v>
      </c>
      <c r="Y81" s="70">
        <v>46022</v>
      </c>
      <c r="Z81" s="65" t="str">
        <f>+Tabla15132[[#This Row],[ÁREA QUE CONTRATA ]]</f>
        <v>Sucursal Bucaramanga</v>
      </c>
      <c r="AA81" s="72" t="s">
        <v>319</v>
      </c>
      <c r="AB81" s="60"/>
      <c r="AC81" s="60"/>
      <c r="AD81" s="56" t="s">
        <v>729</v>
      </c>
      <c r="AE81" s="34">
        <v>0</v>
      </c>
      <c r="AF81" s="34">
        <v>0</v>
      </c>
      <c r="AG81" s="35">
        <v>0</v>
      </c>
      <c r="AH81" s="36" t="s">
        <v>2167</v>
      </c>
      <c r="AK81" s="81">
        <f>+Tabla15132[[#This Row],[VALOR TOTAL DEL CONTRATO CON IVA (VALOR INICIAL + ADICIONES) ]]-Tabla15132[[#This Row],[VALOR PAGADO (EN PESOS)
(TOTAL VR. FACTURAS)]]</f>
        <v>3094000</v>
      </c>
    </row>
    <row r="82" spans="1:37" ht="43.5" x14ac:dyDescent="0.35">
      <c r="A82" s="55" t="s">
        <v>309</v>
      </c>
      <c r="B82" s="2" t="s">
        <v>310</v>
      </c>
      <c r="C82" s="2" t="s">
        <v>1035</v>
      </c>
      <c r="D82" s="31" t="s">
        <v>714</v>
      </c>
      <c r="E82" s="96" t="s">
        <v>2168</v>
      </c>
      <c r="F82" s="70">
        <v>45779</v>
      </c>
      <c r="G82" s="30" t="s">
        <v>142</v>
      </c>
      <c r="H82" s="94" t="s">
        <v>2169</v>
      </c>
      <c r="I82" s="38">
        <v>1270000</v>
      </c>
      <c r="J82" s="38">
        <v>0</v>
      </c>
      <c r="K82" s="7">
        <v>1270000</v>
      </c>
      <c r="L82" s="147" t="s">
        <v>96</v>
      </c>
      <c r="M82" s="67">
        <v>98397457</v>
      </c>
      <c r="N82" s="37"/>
      <c r="O82" s="1" t="s">
        <v>2170</v>
      </c>
      <c r="P82" s="73" t="s">
        <v>318</v>
      </c>
      <c r="Q82" s="3"/>
      <c r="R82" s="32">
        <f>+Tabla15132[[#This Row],[VALOR INICIAL DEL CONTRATO CON IVA]]+Tabla15132[[#This Row],[VALOR DE LAS ADICIONES CON IVA]]</f>
        <v>1270000</v>
      </c>
      <c r="S82" s="4">
        <f>+Tabla15132[[#This Row],[FECHA TERMINACIÓN INICIAL CONTRATO]]-Tabla15132[[#This Row],[FECHA INICIO CONTRATO]]</f>
        <v>214</v>
      </c>
      <c r="T82" s="24" t="s">
        <v>318</v>
      </c>
      <c r="U82" s="58"/>
      <c r="V82" s="56" t="s">
        <v>318</v>
      </c>
      <c r="W82" s="70">
        <v>45779</v>
      </c>
      <c r="X82" s="70">
        <v>45993</v>
      </c>
      <c r="Y82" s="70">
        <v>45993</v>
      </c>
      <c r="Z82" s="65" t="str">
        <f>+Tabla15132[[#This Row],[ÁREA QUE CONTRATA ]]</f>
        <v>Sucursal Pasto</v>
      </c>
      <c r="AA82" s="72" t="s">
        <v>319</v>
      </c>
      <c r="AB82" s="60"/>
      <c r="AC82" s="60"/>
      <c r="AD82" s="56" t="s">
        <v>1033</v>
      </c>
      <c r="AE82" s="34">
        <v>0.6</v>
      </c>
      <c r="AF82" s="34">
        <v>0</v>
      </c>
      <c r="AG82" s="35">
        <v>0</v>
      </c>
      <c r="AH82" s="36" t="s">
        <v>2171</v>
      </c>
      <c r="AK82" s="81">
        <f>+Tabla15132[[#This Row],[VALOR TOTAL DEL CONTRATO CON IVA (VALOR INICIAL + ADICIONES) ]]-Tabla15132[[#This Row],[VALOR PAGADO (EN PESOS)
(TOTAL VR. FACTURAS)]]</f>
        <v>1270000</v>
      </c>
    </row>
    <row r="83" spans="1:37" ht="29" x14ac:dyDescent="0.35">
      <c r="A83" s="55" t="s">
        <v>309</v>
      </c>
      <c r="B83" s="2" t="s">
        <v>310</v>
      </c>
      <c r="C83" s="2" t="s">
        <v>344</v>
      </c>
      <c r="D83" s="31" t="s">
        <v>313</v>
      </c>
      <c r="E83" s="96" t="s">
        <v>2172</v>
      </c>
      <c r="F83" s="70">
        <v>45807</v>
      </c>
      <c r="G83" s="30" t="s">
        <v>113</v>
      </c>
      <c r="H83" s="94" t="s">
        <v>2173</v>
      </c>
      <c r="I83" s="32">
        <v>2142000</v>
      </c>
      <c r="J83" s="32">
        <v>0</v>
      </c>
      <c r="K83" s="47">
        <v>2142000</v>
      </c>
      <c r="L83" s="77" t="s">
        <v>96</v>
      </c>
      <c r="M83" s="54">
        <v>5348893</v>
      </c>
      <c r="N83" s="30"/>
      <c r="O83" s="2" t="s">
        <v>1039</v>
      </c>
      <c r="P83" s="73" t="s">
        <v>318</v>
      </c>
      <c r="Q83" s="3"/>
      <c r="R83" s="32">
        <f>+Tabla15132[[#This Row],[VALOR INICIAL DEL CONTRATO CON IVA]]+Tabla15132[[#This Row],[VALOR DE LAS ADICIONES CON IVA]]</f>
        <v>2142000</v>
      </c>
      <c r="S83" s="4">
        <f>+Tabla15132[[#This Row],[FECHA TERMINACIÓN INICIAL CONTRATO]]-Tabla15132[[#This Row],[FECHA INICIO CONTRATO]]</f>
        <v>30</v>
      </c>
      <c r="T83" s="24" t="s">
        <v>318</v>
      </c>
      <c r="U83" s="58"/>
      <c r="V83" s="56" t="s">
        <v>318</v>
      </c>
      <c r="W83" s="70">
        <v>45807</v>
      </c>
      <c r="X83" s="70">
        <v>45837</v>
      </c>
      <c r="Y83" s="70">
        <v>45837</v>
      </c>
      <c r="Z83" s="65" t="str">
        <f>+Tabla15132[[#This Row],[ÁREA QUE CONTRATA ]]</f>
        <v>Sucursal Villavicencio</v>
      </c>
      <c r="AA83" s="72" t="s">
        <v>405</v>
      </c>
      <c r="AB83" s="60"/>
      <c r="AC83" s="60"/>
      <c r="AD83" s="56" t="s">
        <v>583</v>
      </c>
      <c r="AE83" s="34">
        <v>1</v>
      </c>
      <c r="AF83" s="34">
        <v>1</v>
      </c>
      <c r="AG83" s="35">
        <v>2142000</v>
      </c>
      <c r="AH83" s="36" t="s">
        <v>2174</v>
      </c>
      <c r="AK83" s="81">
        <f>+Tabla15132[[#This Row],[VALOR TOTAL DEL CONTRATO CON IVA (VALOR INICIAL + ADICIONES) ]]-Tabla15132[[#This Row],[VALOR PAGADO (EN PESOS)
(TOTAL VR. FACTURAS)]]</f>
        <v>0</v>
      </c>
    </row>
    <row r="84" spans="1:37" ht="29" x14ac:dyDescent="0.35">
      <c r="A84" s="55" t="s">
        <v>309</v>
      </c>
      <c r="B84" s="2" t="s">
        <v>310</v>
      </c>
      <c r="C84" s="2" t="s">
        <v>344</v>
      </c>
      <c r="D84" s="31" t="s">
        <v>313</v>
      </c>
      <c r="E84" s="96" t="s">
        <v>2175</v>
      </c>
      <c r="F84" s="70">
        <v>45807</v>
      </c>
      <c r="G84" s="30" t="s">
        <v>150</v>
      </c>
      <c r="H84" s="94" t="s">
        <v>2176</v>
      </c>
      <c r="I84" s="38">
        <v>6350000</v>
      </c>
      <c r="J84" s="38">
        <v>0</v>
      </c>
      <c r="K84" s="7">
        <v>6350000</v>
      </c>
      <c r="L84" s="147" t="s">
        <v>96</v>
      </c>
      <c r="M84" s="67">
        <v>80436938</v>
      </c>
      <c r="N84" s="37"/>
      <c r="O84" s="1" t="s">
        <v>2177</v>
      </c>
      <c r="P84" s="73" t="s">
        <v>318</v>
      </c>
      <c r="Q84" s="3"/>
      <c r="R84" s="32">
        <f>+Tabla15132[[#This Row],[VALOR INICIAL DEL CONTRATO CON IVA]]+Tabla15132[[#This Row],[VALOR DE LAS ADICIONES CON IVA]]</f>
        <v>6350000</v>
      </c>
      <c r="S84" s="4">
        <f>+Tabla15132[[#This Row],[FECHA TERMINACIÓN INICIAL CONTRATO]]-Tabla15132[[#This Row],[FECHA INICIO CONTRATO]]</f>
        <v>31</v>
      </c>
      <c r="T84" s="24" t="s">
        <v>318</v>
      </c>
      <c r="U84" s="58"/>
      <c r="V84" s="56" t="s">
        <v>318</v>
      </c>
      <c r="W84" s="70">
        <v>45807</v>
      </c>
      <c r="X84" s="70">
        <v>45838</v>
      </c>
      <c r="Y84" s="70">
        <v>45838</v>
      </c>
      <c r="Z84" s="65" t="str">
        <f>+Tabla15132[[#This Row],[ÁREA QUE CONTRATA ]]</f>
        <v>Sucursal Villavicencio</v>
      </c>
      <c r="AA84" s="72" t="s">
        <v>405</v>
      </c>
      <c r="AB84" s="60"/>
      <c r="AC84" s="60"/>
      <c r="AD84" s="56" t="s">
        <v>1614</v>
      </c>
      <c r="AE84" s="34">
        <v>1</v>
      </c>
      <c r="AF84" s="34">
        <v>1</v>
      </c>
      <c r="AG84" s="35">
        <v>6350000</v>
      </c>
      <c r="AH84" s="36" t="s">
        <v>2178</v>
      </c>
      <c r="AK84" s="81">
        <f>+Tabla15132[[#This Row],[VALOR TOTAL DEL CONTRATO CON IVA (VALOR INICIAL + ADICIONES) ]]-Tabla15132[[#This Row],[VALOR PAGADO (EN PESOS)
(TOTAL VR. FACTURAS)]]</f>
        <v>0</v>
      </c>
    </row>
    <row r="85" spans="1:37" ht="29" x14ac:dyDescent="0.35">
      <c r="A85" s="55" t="s">
        <v>309</v>
      </c>
      <c r="B85" s="2" t="s">
        <v>310</v>
      </c>
      <c r="C85" s="2" t="s">
        <v>344</v>
      </c>
      <c r="D85" s="31" t="s">
        <v>313</v>
      </c>
      <c r="E85" s="96" t="s">
        <v>2179</v>
      </c>
      <c r="F85" s="70">
        <v>45808</v>
      </c>
      <c r="G85" s="30" t="s">
        <v>150</v>
      </c>
      <c r="H85" s="94" t="s">
        <v>2180</v>
      </c>
      <c r="I85" s="38">
        <v>1482946</v>
      </c>
      <c r="J85" s="38">
        <v>281760</v>
      </c>
      <c r="K85" s="7">
        <v>1764706</v>
      </c>
      <c r="L85" s="147" t="s">
        <v>96</v>
      </c>
      <c r="M85" s="67">
        <v>5348893</v>
      </c>
      <c r="N85" s="37"/>
      <c r="O85" s="1" t="s">
        <v>1039</v>
      </c>
      <c r="P85" s="73" t="s">
        <v>318</v>
      </c>
      <c r="Q85" s="3"/>
      <c r="R85" s="32">
        <f>+Tabla15132[[#This Row],[VALOR INICIAL DEL CONTRATO CON IVA]]+Tabla15132[[#This Row],[VALOR DE LAS ADICIONES CON IVA]]</f>
        <v>1764706</v>
      </c>
      <c r="S85" s="4">
        <f>+Tabla15132[[#This Row],[FECHA TERMINACIÓN INICIAL CONTRATO]]-Tabla15132[[#This Row],[FECHA INICIO CONTRATO]]</f>
        <v>30</v>
      </c>
      <c r="T85" s="24" t="s">
        <v>318</v>
      </c>
      <c r="U85" s="58"/>
      <c r="V85" s="56" t="s">
        <v>318</v>
      </c>
      <c r="W85" s="70">
        <v>45808</v>
      </c>
      <c r="X85" s="70">
        <v>45838</v>
      </c>
      <c r="Y85" s="70">
        <v>45838</v>
      </c>
      <c r="Z85" s="65" t="str">
        <f>+Tabla15132[[#This Row],[ÁREA QUE CONTRATA ]]</f>
        <v>Sucursal Villavicencio</v>
      </c>
      <c r="AA85" s="72" t="s">
        <v>405</v>
      </c>
      <c r="AB85" s="60"/>
      <c r="AC85" s="60"/>
      <c r="AD85" s="56" t="s">
        <v>1774</v>
      </c>
      <c r="AE85" s="34">
        <v>1</v>
      </c>
      <c r="AF85" s="34">
        <v>1</v>
      </c>
      <c r="AG85" s="35">
        <v>1764706</v>
      </c>
      <c r="AH85" s="36" t="s">
        <v>2181</v>
      </c>
      <c r="AK85" s="81">
        <f>+Tabla15132[[#This Row],[VALOR TOTAL DEL CONTRATO CON IVA (VALOR INICIAL + ADICIONES) ]]-Tabla15132[[#This Row],[VALOR PAGADO (EN PESOS)
(TOTAL VR. FACTURAS)]]</f>
        <v>0</v>
      </c>
    </row>
    <row r="86" spans="1:37" ht="43.5" x14ac:dyDescent="0.35">
      <c r="A86" s="55" t="s">
        <v>309</v>
      </c>
      <c r="B86" s="2" t="s">
        <v>310</v>
      </c>
      <c r="C86" s="2" t="s">
        <v>321</v>
      </c>
      <c r="D86" s="31" t="s">
        <v>714</v>
      </c>
      <c r="E86" s="96" t="s">
        <v>2182</v>
      </c>
      <c r="F86" s="70">
        <v>45814</v>
      </c>
      <c r="G86" s="30" t="s">
        <v>142</v>
      </c>
      <c r="H86" s="94" t="s">
        <v>2183</v>
      </c>
      <c r="I86" s="38">
        <v>880000</v>
      </c>
      <c r="J86" s="38">
        <v>167200</v>
      </c>
      <c r="K86" s="7">
        <v>1047200</v>
      </c>
      <c r="L86" s="147" t="s">
        <v>96</v>
      </c>
      <c r="M86" s="67">
        <v>5822623</v>
      </c>
      <c r="N86" s="37"/>
      <c r="O86" s="1" t="s">
        <v>1069</v>
      </c>
      <c r="P86" s="73" t="s">
        <v>318</v>
      </c>
      <c r="Q86" s="3"/>
      <c r="R86" s="32">
        <f>+Tabla15132[[#This Row],[VALOR INICIAL DEL CONTRATO CON IVA]]+Tabla15132[[#This Row],[VALOR DE LAS ADICIONES CON IVA]]</f>
        <v>1047200</v>
      </c>
      <c r="S86" s="4">
        <f>+Tabla15132[[#This Row],[FECHA TERMINACIÓN INICIAL CONTRATO]]-Tabla15132[[#This Row],[FECHA INICIO CONTRATO]]</f>
        <v>8</v>
      </c>
      <c r="T86" s="24" t="s">
        <v>318</v>
      </c>
      <c r="U86" s="58"/>
      <c r="V86" s="56" t="s">
        <v>318</v>
      </c>
      <c r="W86" s="70">
        <v>45817</v>
      </c>
      <c r="X86" s="70">
        <v>45825</v>
      </c>
      <c r="Y86" s="70">
        <v>45825</v>
      </c>
      <c r="Z86" s="65" t="str">
        <f>+Tabla15132[[#This Row],[ÁREA QUE CONTRATA ]]</f>
        <v>Sucursal Ibagué</v>
      </c>
      <c r="AA86" s="72" t="s">
        <v>405</v>
      </c>
      <c r="AB86" s="60"/>
      <c r="AC86" s="60"/>
      <c r="AD86" s="56" t="s">
        <v>1033</v>
      </c>
      <c r="AE86" s="34">
        <v>1</v>
      </c>
      <c r="AF86" s="34">
        <v>1</v>
      </c>
      <c r="AG86" s="35">
        <v>1047200</v>
      </c>
      <c r="AH86" s="36" t="s">
        <v>2184</v>
      </c>
      <c r="AK86" s="81">
        <f>+Tabla15132[[#This Row],[VALOR TOTAL DEL CONTRATO CON IVA (VALOR INICIAL + ADICIONES) ]]-Tabla15132[[#This Row],[VALOR PAGADO (EN PESOS)
(TOTAL VR. FACTURAS)]]</f>
        <v>0</v>
      </c>
    </row>
    <row r="87" spans="1:37" ht="43.5" x14ac:dyDescent="0.35">
      <c r="A87" s="55" t="s">
        <v>309</v>
      </c>
      <c r="B87" s="2" t="s">
        <v>310</v>
      </c>
      <c r="C87" s="2" t="s">
        <v>321</v>
      </c>
      <c r="D87" s="31" t="s">
        <v>714</v>
      </c>
      <c r="E87" s="96" t="s">
        <v>2185</v>
      </c>
      <c r="F87" s="70">
        <v>45818</v>
      </c>
      <c r="G87" s="30" t="s">
        <v>142</v>
      </c>
      <c r="H87" s="94" t="s">
        <v>2186</v>
      </c>
      <c r="I87" s="38">
        <v>118000</v>
      </c>
      <c r="J87" s="38">
        <v>22420</v>
      </c>
      <c r="K87" s="7">
        <v>140420</v>
      </c>
      <c r="L87" s="147" t="s">
        <v>84</v>
      </c>
      <c r="M87" s="67">
        <v>900581931</v>
      </c>
      <c r="N87" s="37" t="s">
        <v>123</v>
      </c>
      <c r="O87" s="1" t="s">
        <v>2155</v>
      </c>
      <c r="P87" s="73" t="s">
        <v>318</v>
      </c>
      <c r="Q87" s="3"/>
      <c r="R87" s="32">
        <f>+Tabla15132[[#This Row],[VALOR INICIAL DEL CONTRATO CON IVA]]+Tabla15132[[#This Row],[VALOR DE LAS ADICIONES CON IVA]]</f>
        <v>140420</v>
      </c>
      <c r="S87" s="4">
        <f>+Tabla15132[[#This Row],[FECHA TERMINACIÓN INICIAL CONTRATO]]-Tabla15132[[#This Row],[FECHA INICIO CONTRATO]]</f>
        <v>5</v>
      </c>
      <c r="T87" s="24" t="s">
        <v>318</v>
      </c>
      <c r="U87" s="58"/>
      <c r="V87" s="56" t="s">
        <v>318</v>
      </c>
      <c r="W87" s="70">
        <v>45819</v>
      </c>
      <c r="X87" s="70">
        <v>45824</v>
      </c>
      <c r="Y87" s="70">
        <v>45824</v>
      </c>
      <c r="Z87" s="65" t="str">
        <f>+Tabla15132[[#This Row],[ÁREA QUE CONTRATA ]]</f>
        <v>Sucursal Ibagué</v>
      </c>
      <c r="AA87" s="72" t="s">
        <v>405</v>
      </c>
      <c r="AB87" s="60"/>
      <c r="AC87" s="60"/>
      <c r="AD87" s="56" t="s">
        <v>1033</v>
      </c>
      <c r="AE87" s="34">
        <v>1</v>
      </c>
      <c r="AF87" s="34">
        <v>0</v>
      </c>
      <c r="AG87" s="35">
        <v>0</v>
      </c>
      <c r="AH87" s="36" t="s">
        <v>2187</v>
      </c>
      <c r="AK87" s="81">
        <f>+Tabla15132[[#This Row],[VALOR TOTAL DEL CONTRATO CON IVA (VALOR INICIAL + ADICIONES) ]]-Tabla15132[[#This Row],[VALOR PAGADO (EN PESOS)
(TOTAL VR. FACTURAS)]]</f>
        <v>140420</v>
      </c>
    </row>
    <row r="88" spans="1:37" ht="29" x14ac:dyDescent="0.35">
      <c r="A88" s="55" t="s">
        <v>309</v>
      </c>
      <c r="B88" s="2" t="s">
        <v>310</v>
      </c>
      <c r="C88" s="2" t="s">
        <v>326</v>
      </c>
      <c r="D88" s="31" t="s">
        <v>714</v>
      </c>
      <c r="E88" s="96" t="s">
        <v>2188</v>
      </c>
      <c r="F88" s="70">
        <v>45819</v>
      </c>
      <c r="G88" s="30" t="s">
        <v>150</v>
      </c>
      <c r="H88" s="94" t="s">
        <v>2189</v>
      </c>
      <c r="I88" s="38">
        <v>3030000</v>
      </c>
      <c r="J88" s="38">
        <v>575700</v>
      </c>
      <c r="K88" s="7">
        <v>3605700</v>
      </c>
      <c r="L88" s="147" t="s">
        <v>84</v>
      </c>
      <c r="M88" s="67">
        <v>900316947</v>
      </c>
      <c r="N88" s="37" t="s">
        <v>91</v>
      </c>
      <c r="O88" s="1" t="s">
        <v>2190</v>
      </c>
      <c r="P88" s="73" t="s">
        <v>318</v>
      </c>
      <c r="Q88" s="3"/>
      <c r="R88" s="32">
        <f>+Tabla15132[[#This Row],[VALOR INICIAL DEL CONTRATO CON IVA]]+Tabla15132[[#This Row],[VALOR DE LAS ADICIONES CON IVA]]</f>
        <v>3605700</v>
      </c>
      <c r="S88" s="4">
        <f>+Tabla15132[[#This Row],[FECHA TERMINACIÓN INICIAL CONTRATO]]-Tabla15132[[#This Row],[FECHA INICIO CONTRATO]]</f>
        <v>5</v>
      </c>
      <c r="T88" s="24" t="s">
        <v>318</v>
      </c>
      <c r="U88" s="58"/>
      <c r="V88" s="56" t="s">
        <v>318</v>
      </c>
      <c r="W88" s="70">
        <v>45819</v>
      </c>
      <c r="X88" s="70">
        <v>45824</v>
      </c>
      <c r="Y88" s="70">
        <v>45824</v>
      </c>
      <c r="Z88" s="65" t="str">
        <f>+Tabla15132[[#This Row],[ÁREA QUE CONTRATA ]]</f>
        <v>Sucursal Monteria</v>
      </c>
      <c r="AA88" s="72" t="s">
        <v>405</v>
      </c>
      <c r="AB88" s="60"/>
      <c r="AC88" s="60"/>
      <c r="AD88" s="56" t="s">
        <v>1774</v>
      </c>
      <c r="AE88" s="34"/>
      <c r="AF88" s="34"/>
      <c r="AG88" s="35"/>
      <c r="AH88" s="36" t="s">
        <v>2191</v>
      </c>
      <c r="AK88" s="81">
        <f>+Tabla15132[[#This Row],[VALOR TOTAL DEL CONTRATO CON IVA (VALOR INICIAL + ADICIONES) ]]-Tabla15132[[#This Row],[VALOR PAGADO (EN PESOS)
(TOTAL VR. FACTURAS)]]</f>
        <v>3605700</v>
      </c>
    </row>
    <row r="89" spans="1:37" ht="29" x14ac:dyDescent="0.35">
      <c r="A89" s="55" t="s">
        <v>309</v>
      </c>
      <c r="B89" s="2" t="s">
        <v>310</v>
      </c>
      <c r="C89" s="2" t="s">
        <v>311</v>
      </c>
      <c r="D89" s="31" t="s">
        <v>714</v>
      </c>
      <c r="E89" s="96" t="s">
        <v>2192</v>
      </c>
      <c r="F89" s="70">
        <v>45826</v>
      </c>
      <c r="G89" s="30" t="s">
        <v>150</v>
      </c>
      <c r="H89" s="94" t="s">
        <v>2193</v>
      </c>
      <c r="I89" s="38">
        <v>920000</v>
      </c>
      <c r="J89" s="38">
        <v>0</v>
      </c>
      <c r="K89" s="7">
        <v>920000</v>
      </c>
      <c r="L89" s="147" t="s">
        <v>96</v>
      </c>
      <c r="M89" s="67">
        <v>1116800873</v>
      </c>
      <c r="N89" s="37"/>
      <c r="O89" s="1" t="s">
        <v>2194</v>
      </c>
      <c r="P89" s="73" t="s">
        <v>318</v>
      </c>
      <c r="Q89" s="3"/>
      <c r="R89" s="32">
        <f>+Tabla15132[[#This Row],[VALOR INICIAL DEL CONTRATO CON IVA]]+Tabla15132[[#This Row],[VALOR DE LAS ADICIONES CON IVA]]</f>
        <v>920000</v>
      </c>
      <c r="S89" s="4">
        <f>+Tabla15132[[#This Row],[FECHA TERMINACIÓN INICIAL CONTRATO]]-Tabla15132[[#This Row],[FECHA INICIO CONTRATO]]</f>
        <v>6</v>
      </c>
      <c r="T89" s="24" t="s">
        <v>317</v>
      </c>
      <c r="U89" s="58">
        <f>+Tabla15132[[#This Row],[FECHA FINAL DEL CONTRATO]]-Tabla15132[[#This Row],[FECHA TERMINACIÓN INICIAL CONTRATO]]</f>
        <v>14</v>
      </c>
      <c r="V89" s="56" t="s">
        <v>318</v>
      </c>
      <c r="W89" s="70">
        <v>45827</v>
      </c>
      <c r="X89" s="70">
        <v>45833</v>
      </c>
      <c r="Y89" s="70">
        <v>45847</v>
      </c>
      <c r="Z89" s="65" t="str">
        <f>+Tabla15132[[#This Row],[ÁREA QUE CONTRATA ]]</f>
        <v>Sucursal Arauca</v>
      </c>
      <c r="AA89" s="72" t="s">
        <v>405</v>
      </c>
      <c r="AB89" s="60"/>
      <c r="AC89" s="60"/>
      <c r="AD89" s="56" t="s">
        <v>1614</v>
      </c>
      <c r="AE89" s="34">
        <v>0</v>
      </c>
      <c r="AF89" s="34">
        <v>0</v>
      </c>
      <c r="AG89" s="35">
        <v>0</v>
      </c>
      <c r="AH89" s="36" t="s">
        <v>2195</v>
      </c>
      <c r="AK89" s="81">
        <f>+Tabla15132[[#This Row],[VALOR TOTAL DEL CONTRATO CON IVA (VALOR INICIAL + ADICIONES) ]]-Tabla15132[[#This Row],[VALOR PAGADO (EN PESOS)
(TOTAL VR. FACTURAS)]]</f>
        <v>920000</v>
      </c>
    </row>
    <row r="90" spans="1:37" ht="29" x14ac:dyDescent="0.35">
      <c r="A90" s="55" t="s">
        <v>309</v>
      </c>
      <c r="B90" s="2" t="s">
        <v>310</v>
      </c>
      <c r="C90" s="2" t="s">
        <v>426</v>
      </c>
      <c r="D90" s="31" t="s">
        <v>714</v>
      </c>
      <c r="E90" s="96" t="s">
        <v>2196</v>
      </c>
      <c r="F90" s="70">
        <v>45827</v>
      </c>
      <c r="G90" s="30" t="s">
        <v>113</v>
      </c>
      <c r="H90" s="94" t="s">
        <v>2197</v>
      </c>
      <c r="I90" s="38">
        <v>2422250</v>
      </c>
      <c r="J90" s="38">
        <v>460228</v>
      </c>
      <c r="K90" s="7">
        <v>2882478</v>
      </c>
      <c r="L90" s="147" t="s">
        <v>84</v>
      </c>
      <c r="M90" s="67">
        <v>807002365</v>
      </c>
      <c r="N90" s="37" t="s">
        <v>91</v>
      </c>
      <c r="O90" s="1" t="s">
        <v>1061</v>
      </c>
      <c r="P90" s="73" t="s">
        <v>318</v>
      </c>
      <c r="Q90" s="3"/>
      <c r="R90" s="149">
        <v>2882478</v>
      </c>
      <c r="S90" s="4">
        <f>+Tabla15132[[#This Row],[FECHA TERMINACIÓN INICIAL CONTRATO]]-Tabla15132[[#This Row],[FECHA INICIO CONTRATO]]</f>
        <v>10</v>
      </c>
      <c r="T90" s="24" t="s">
        <v>318</v>
      </c>
      <c r="U90" s="58"/>
      <c r="V90" s="56" t="s">
        <v>318</v>
      </c>
      <c r="W90" s="70">
        <v>45828</v>
      </c>
      <c r="X90" s="70">
        <v>45838</v>
      </c>
      <c r="Y90" s="70">
        <v>45838</v>
      </c>
      <c r="Z90" s="65" t="str">
        <f>+Tabla15132[[#This Row],[ÁREA QUE CONTRATA ]]</f>
        <v>Sucursal Cúcuta</v>
      </c>
      <c r="AA90" s="72" t="s">
        <v>405</v>
      </c>
      <c r="AB90" s="60"/>
      <c r="AC90" s="60"/>
      <c r="AD90" s="56" t="s">
        <v>1614</v>
      </c>
      <c r="AE90" s="34">
        <v>1</v>
      </c>
      <c r="AF90" s="34">
        <v>0</v>
      </c>
      <c r="AG90" s="35">
        <v>0</v>
      </c>
      <c r="AH90" s="36" t="s">
        <v>2198</v>
      </c>
      <c r="AK90" s="81">
        <f>+Tabla15132[[#This Row],[VALOR TOTAL DEL CONTRATO CON IVA (VALOR INICIAL + ADICIONES) ]]-Tabla15132[[#This Row],[VALOR PAGADO (EN PESOS)
(TOTAL VR. FACTURAS)]]</f>
        <v>2882478</v>
      </c>
    </row>
    <row r="91" spans="1:37" ht="87" x14ac:dyDescent="0.35">
      <c r="A91" s="55" t="s">
        <v>309</v>
      </c>
      <c r="B91" s="2" t="s">
        <v>310</v>
      </c>
      <c r="C91" s="2" t="s">
        <v>311</v>
      </c>
      <c r="D91" s="31" t="s">
        <v>313</v>
      </c>
      <c r="E91" s="96" t="s">
        <v>2199</v>
      </c>
      <c r="F91" s="70">
        <v>45828</v>
      </c>
      <c r="G91" s="30" t="s">
        <v>150</v>
      </c>
      <c r="H91" s="94" t="s">
        <v>2200</v>
      </c>
      <c r="I91" s="38">
        <v>7444000</v>
      </c>
      <c r="J91" s="38">
        <v>0</v>
      </c>
      <c r="K91" s="7">
        <v>7444000</v>
      </c>
      <c r="L91" s="147" t="s">
        <v>96</v>
      </c>
      <c r="M91" s="67">
        <v>1116795039</v>
      </c>
      <c r="N91" s="37"/>
      <c r="O91" s="1" t="s">
        <v>2201</v>
      </c>
      <c r="P91" s="73" t="s">
        <v>318</v>
      </c>
      <c r="Q91" s="3"/>
      <c r="R91" s="32">
        <f>+Tabla15132[[#This Row],[VALOR INICIAL DEL CONTRATO CON IVA]]+Tabla15132[[#This Row],[VALOR DE LAS ADICIONES CON IVA]]</f>
        <v>7444000</v>
      </c>
      <c r="S91" s="4">
        <f>+Tabla15132[[#This Row],[FECHA TERMINACIÓN INICIAL CONTRATO]]-Tabla15132[[#This Row],[FECHA INICIO CONTRATO]]</f>
        <v>174</v>
      </c>
      <c r="T91" s="24" t="s">
        <v>318</v>
      </c>
      <c r="U91" s="58"/>
      <c r="V91" s="56" t="s">
        <v>318</v>
      </c>
      <c r="W91" s="70">
        <v>45832</v>
      </c>
      <c r="X91" s="70">
        <v>46006</v>
      </c>
      <c r="Y91" s="70">
        <v>46006</v>
      </c>
      <c r="Z91" s="65" t="str">
        <f>+Tabla15132[[#This Row],[ÁREA QUE CONTRATA ]]</f>
        <v>Sucursal Arauca</v>
      </c>
      <c r="AA91" s="72" t="s">
        <v>319</v>
      </c>
      <c r="AB91" s="60"/>
      <c r="AC91" s="60"/>
      <c r="AD91" s="56" t="s">
        <v>2202</v>
      </c>
      <c r="AE91" s="34"/>
      <c r="AF91" s="34"/>
      <c r="AG91" s="35"/>
      <c r="AH91" s="36" t="s">
        <v>2203</v>
      </c>
      <c r="AK91" s="81">
        <f>+Tabla15132[[#This Row],[VALOR TOTAL DEL CONTRATO CON IVA (VALOR INICIAL + ADICIONES) ]]-Tabla15132[[#This Row],[VALOR PAGADO (EN PESOS)
(TOTAL VR. FACTURAS)]]</f>
        <v>7444000</v>
      </c>
    </row>
    <row r="92" spans="1:37" ht="29" x14ac:dyDescent="0.35">
      <c r="A92" s="55" t="s">
        <v>309</v>
      </c>
      <c r="B92" s="2" t="s">
        <v>310</v>
      </c>
      <c r="C92" s="2" t="s">
        <v>326</v>
      </c>
      <c r="D92" s="31" t="s">
        <v>714</v>
      </c>
      <c r="E92" s="96" t="s">
        <v>2204</v>
      </c>
      <c r="F92" s="70">
        <v>45834</v>
      </c>
      <c r="G92" s="30" t="s">
        <v>142</v>
      </c>
      <c r="H92" s="94" t="s">
        <v>2205</v>
      </c>
      <c r="I92" s="38">
        <v>3015000</v>
      </c>
      <c r="J92" s="38">
        <v>572850</v>
      </c>
      <c r="K92" s="7">
        <v>3587850</v>
      </c>
      <c r="L92" s="147" t="s">
        <v>84</v>
      </c>
      <c r="M92" s="67">
        <v>901260512</v>
      </c>
      <c r="N92" s="37" t="s">
        <v>97</v>
      </c>
      <c r="O92" s="1" t="s">
        <v>1054</v>
      </c>
      <c r="P92" s="73" t="s">
        <v>318</v>
      </c>
      <c r="Q92" s="3"/>
      <c r="R92" s="32">
        <f>+Tabla15132[[#This Row],[VALOR INICIAL DEL CONTRATO CON IVA]]+Tabla15132[[#This Row],[VALOR DE LAS ADICIONES CON IVA]]</f>
        <v>3587850</v>
      </c>
      <c r="S92" s="4">
        <f>+Tabla15132[[#This Row],[FECHA TERMINACIÓN INICIAL CONTRATO]]-Tabla15132[[#This Row],[FECHA INICIO CONTRATO]]</f>
        <v>10</v>
      </c>
      <c r="T92" s="24" t="s">
        <v>318</v>
      </c>
      <c r="U92" s="58"/>
      <c r="V92" s="56" t="s">
        <v>318</v>
      </c>
      <c r="W92" s="70">
        <v>45834</v>
      </c>
      <c r="X92" s="70">
        <v>45844</v>
      </c>
      <c r="Y92" s="70">
        <v>45844</v>
      </c>
      <c r="Z92" s="65" t="str">
        <f>+Tabla15132[[#This Row],[ÁREA QUE CONTRATA ]]</f>
        <v>Sucursal Monteria</v>
      </c>
      <c r="AA92" s="72" t="s">
        <v>405</v>
      </c>
      <c r="AB92" s="60"/>
      <c r="AC92" s="60"/>
      <c r="AD92" s="56" t="s">
        <v>1614</v>
      </c>
      <c r="AE92" s="34"/>
      <c r="AF92" s="34"/>
      <c r="AG92" s="35"/>
      <c r="AH92" s="36" t="s">
        <v>2206</v>
      </c>
      <c r="AK92" s="81">
        <f>+Tabla15132[[#This Row],[VALOR TOTAL DEL CONTRATO CON IVA (VALOR INICIAL + ADICIONES) ]]-Tabla15132[[#This Row],[VALOR PAGADO (EN PESOS)
(TOTAL VR. FACTURAS)]]</f>
        <v>3587850</v>
      </c>
    </row>
    <row r="93" spans="1:37" ht="29" x14ac:dyDescent="0.35">
      <c r="A93" s="55" t="s">
        <v>309</v>
      </c>
      <c r="B93" s="2" t="s">
        <v>310</v>
      </c>
      <c r="C93" s="2" t="s">
        <v>372</v>
      </c>
      <c r="D93" s="31" t="s">
        <v>313</v>
      </c>
      <c r="E93" s="96" t="s">
        <v>2207</v>
      </c>
      <c r="F93" s="70">
        <v>45835</v>
      </c>
      <c r="G93" s="30" t="s">
        <v>113</v>
      </c>
      <c r="H93" s="94" t="s">
        <v>2208</v>
      </c>
      <c r="I93" s="38">
        <v>10008023</v>
      </c>
      <c r="J93" s="38">
        <v>1901524</v>
      </c>
      <c r="K93" s="7">
        <v>11909547</v>
      </c>
      <c r="L93" s="147" t="s">
        <v>84</v>
      </c>
      <c r="M93" s="67">
        <v>900344370</v>
      </c>
      <c r="N93" s="37" t="s">
        <v>91</v>
      </c>
      <c r="O93" s="1" t="s">
        <v>2209</v>
      </c>
      <c r="P93" s="73" t="s">
        <v>318</v>
      </c>
      <c r="Q93" s="3"/>
      <c r="R93" s="32">
        <f>+Tabla15132[[#This Row],[VALOR INICIAL DEL CONTRATO CON IVA]]+Tabla15132[[#This Row],[VALOR DE LAS ADICIONES CON IVA]]</f>
        <v>11909547</v>
      </c>
      <c r="S93" s="4">
        <f>+Tabla15132[[#This Row],[FECHA TERMINACIÓN INICIAL CONTRATO]]-Tabla15132[[#This Row],[FECHA INICIO CONTRATO]]</f>
        <v>60</v>
      </c>
      <c r="T93" s="24" t="s">
        <v>318</v>
      </c>
      <c r="U93" s="58"/>
      <c r="V93" s="56" t="s">
        <v>318</v>
      </c>
      <c r="W93" s="70">
        <v>45839</v>
      </c>
      <c r="X93" s="70">
        <v>45899</v>
      </c>
      <c r="Y93" s="70">
        <v>45899</v>
      </c>
      <c r="Z93" s="65" t="str">
        <f>+Tabla15132[[#This Row],[ÁREA QUE CONTRATA ]]</f>
        <v xml:space="preserve">Centro Empresarial Corporativo </v>
      </c>
      <c r="AA93" s="72" t="s">
        <v>405</v>
      </c>
      <c r="AB93" s="60"/>
      <c r="AC93" s="60"/>
      <c r="AD93" s="56" t="s">
        <v>1062</v>
      </c>
      <c r="AE93" s="34">
        <v>1</v>
      </c>
      <c r="AF93" s="34">
        <v>1</v>
      </c>
      <c r="AG93" s="35"/>
      <c r="AH93" s="36" t="s">
        <v>2210</v>
      </c>
      <c r="AK93" s="81">
        <f>+Tabla15132[[#This Row],[VALOR TOTAL DEL CONTRATO CON IVA (VALOR INICIAL + ADICIONES) ]]-Tabla15132[[#This Row],[VALOR PAGADO (EN PESOS)
(TOTAL VR. FACTURAS)]]</f>
        <v>11909547</v>
      </c>
    </row>
    <row r="94" spans="1:37" ht="29" x14ac:dyDescent="0.35">
      <c r="A94" s="55" t="s">
        <v>309</v>
      </c>
      <c r="B94" s="2" t="s">
        <v>310</v>
      </c>
      <c r="C94" s="2" t="s">
        <v>311</v>
      </c>
      <c r="D94" s="31" t="s">
        <v>714</v>
      </c>
      <c r="E94" s="96" t="s">
        <v>2211</v>
      </c>
      <c r="F94" s="70">
        <v>45834</v>
      </c>
      <c r="G94" s="30" t="s">
        <v>150</v>
      </c>
      <c r="H94" s="94" t="s">
        <v>2212</v>
      </c>
      <c r="I94" s="38">
        <v>1000000</v>
      </c>
      <c r="J94" s="38">
        <v>0</v>
      </c>
      <c r="K94" s="7">
        <v>1000000</v>
      </c>
      <c r="L94" s="147" t="s">
        <v>96</v>
      </c>
      <c r="M94" s="67">
        <v>17596837</v>
      </c>
      <c r="N94" s="37"/>
      <c r="O94" s="1" t="s">
        <v>2213</v>
      </c>
      <c r="P94" s="73" t="s">
        <v>318</v>
      </c>
      <c r="Q94" s="3"/>
      <c r="R94" s="32">
        <f>+Tabla15132[[#This Row],[VALOR INICIAL DEL CONTRATO CON IVA]]+Tabla15132[[#This Row],[VALOR DE LAS ADICIONES CON IVA]]</f>
        <v>1000000</v>
      </c>
      <c r="S94" s="4">
        <f>+Tabla15132[[#This Row],[FECHA TERMINACIÓN INICIAL CONTRATO]]-Tabla15132[[#This Row],[FECHA INICIO CONTRATO]]</f>
        <v>0</v>
      </c>
      <c r="T94" s="24" t="s">
        <v>318</v>
      </c>
      <c r="U94" s="58"/>
      <c r="V94" s="56" t="s">
        <v>318</v>
      </c>
      <c r="W94" s="70">
        <v>45850</v>
      </c>
      <c r="X94" s="70">
        <v>45850</v>
      </c>
      <c r="Y94" s="70">
        <v>45850</v>
      </c>
      <c r="Z94" s="65" t="str">
        <f>+Tabla15132[[#This Row],[ÁREA QUE CONTRATA ]]</f>
        <v>Sucursal Arauca</v>
      </c>
      <c r="AA94" s="72" t="s">
        <v>405</v>
      </c>
      <c r="AB94" s="60"/>
      <c r="AC94" s="60"/>
      <c r="AD94" s="56" t="s">
        <v>1501</v>
      </c>
      <c r="AE94" s="34">
        <v>0</v>
      </c>
      <c r="AF94" s="34">
        <v>0</v>
      </c>
      <c r="AG94" s="35">
        <v>0</v>
      </c>
      <c r="AH94" s="36" t="s">
        <v>2214</v>
      </c>
      <c r="AK94" s="81">
        <f>+Tabla15132[[#This Row],[VALOR TOTAL DEL CONTRATO CON IVA (VALOR INICIAL + ADICIONES) ]]-Tabla15132[[#This Row],[VALOR PAGADO (EN PESOS)
(TOTAL VR. FACTURAS)]]</f>
        <v>1000000</v>
      </c>
    </row>
    <row r="95" spans="1:37" ht="43.5" x14ac:dyDescent="0.35">
      <c r="A95" s="55" t="s">
        <v>309</v>
      </c>
      <c r="B95" s="2" t="s">
        <v>310</v>
      </c>
      <c r="C95" s="2" t="s">
        <v>1976</v>
      </c>
      <c r="D95" s="31" t="s">
        <v>714</v>
      </c>
      <c r="E95" s="96" t="s">
        <v>2215</v>
      </c>
      <c r="F95" s="70">
        <v>45835</v>
      </c>
      <c r="G95" s="30" t="s">
        <v>142</v>
      </c>
      <c r="H95" s="94" t="s">
        <v>2216</v>
      </c>
      <c r="I95" s="38">
        <v>1587329</v>
      </c>
      <c r="J95" s="38">
        <v>0</v>
      </c>
      <c r="K95" s="7">
        <v>1587329</v>
      </c>
      <c r="L95" s="147" t="s">
        <v>96</v>
      </c>
      <c r="M95" s="67">
        <v>76304191</v>
      </c>
      <c r="N95" s="37"/>
      <c r="O95" s="1" t="s">
        <v>1068</v>
      </c>
      <c r="P95" s="73" t="s">
        <v>318</v>
      </c>
      <c r="Q95" s="3"/>
      <c r="R95" s="32">
        <f>+Tabla15132[[#This Row],[VALOR INICIAL DEL CONTRATO CON IVA]]+Tabla15132[[#This Row],[VALOR DE LAS ADICIONES CON IVA]]</f>
        <v>1587329</v>
      </c>
      <c r="S95" s="4">
        <f>+Tabla15132[[#This Row],[FECHA TERMINACIÓN INICIAL CONTRATO]]-Tabla15132[[#This Row],[FECHA INICIO CONTRATO]]</f>
        <v>60</v>
      </c>
      <c r="T95" s="24" t="s">
        <v>318</v>
      </c>
      <c r="U95" s="58"/>
      <c r="V95" s="56" t="s">
        <v>318</v>
      </c>
      <c r="W95" s="70">
        <v>45845</v>
      </c>
      <c r="X95" s="70">
        <v>45905</v>
      </c>
      <c r="Y95" s="70">
        <v>45905</v>
      </c>
      <c r="Z95" s="65" t="str">
        <f>+Tabla15132[[#This Row],[ÁREA QUE CONTRATA ]]</f>
        <v>Sucursal Popayan</v>
      </c>
      <c r="AA95" s="72" t="s">
        <v>405</v>
      </c>
      <c r="AB95" s="60"/>
      <c r="AC95" s="60"/>
      <c r="AD95" s="56" t="s">
        <v>1033</v>
      </c>
      <c r="AE95" s="34">
        <v>1</v>
      </c>
      <c r="AF95" s="34">
        <v>1</v>
      </c>
      <c r="AG95" s="35">
        <v>1587329</v>
      </c>
      <c r="AH95" s="36" t="s">
        <v>2217</v>
      </c>
      <c r="AK95" s="81">
        <f>+Tabla15132[[#This Row],[VALOR TOTAL DEL CONTRATO CON IVA (VALOR INICIAL + ADICIONES) ]]-Tabla15132[[#This Row],[VALOR PAGADO (EN PESOS)
(TOTAL VR. FACTURAS)]]</f>
        <v>0</v>
      </c>
    </row>
    <row r="96" spans="1:37" ht="43.5" x14ac:dyDescent="0.35">
      <c r="A96" s="55" t="s">
        <v>309</v>
      </c>
      <c r="B96" s="2" t="s">
        <v>310</v>
      </c>
      <c r="C96" s="2" t="s">
        <v>341</v>
      </c>
      <c r="D96" s="31" t="s">
        <v>714</v>
      </c>
      <c r="E96" s="96" t="s">
        <v>2218</v>
      </c>
      <c r="F96" s="70">
        <v>45835</v>
      </c>
      <c r="G96" s="30" t="s">
        <v>142</v>
      </c>
      <c r="H96" s="142" t="s">
        <v>2219</v>
      </c>
      <c r="I96" s="38">
        <v>420000</v>
      </c>
      <c r="J96" s="38">
        <v>79800</v>
      </c>
      <c r="K96" s="7">
        <v>499800</v>
      </c>
      <c r="L96" s="147" t="s">
        <v>84</v>
      </c>
      <c r="M96" s="67">
        <v>901203058</v>
      </c>
      <c r="N96" s="37" t="s">
        <v>117</v>
      </c>
      <c r="O96" s="1" t="s">
        <v>2148</v>
      </c>
      <c r="P96" s="73" t="s">
        <v>318</v>
      </c>
      <c r="Q96" s="3"/>
      <c r="R96" s="32">
        <f>+Tabla15132[[#This Row],[VALOR INICIAL DEL CONTRATO CON IVA]]+Tabla15132[[#This Row],[VALOR DE LAS ADICIONES CON IVA]]</f>
        <v>499800</v>
      </c>
      <c r="S96" s="4">
        <f>+Tabla15132[[#This Row],[FECHA TERMINACIÓN INICIAL CONTRATO]]-Tabla15132[[#This Row],[FECHA INICIO CONTRATO]]</f>
        <v>30</v>
      </c>
      <c r="T96" s="24" t="s">
        <v>318</v>
      </c>
      <c r="U96" s="58"/>
      <c r="V96" s="56" t="s">
        <v>318</v>
      </c>
      <c r="W96" s="70">
        <v>45841</v>
      </c>
      <c r="X96" s="70">
        <v>45871</v>
      </c>
      <c r="Y96" s="70">
        <v>45871</v>
      </c>
      <c r="Z96" s="65" t="str">
        <f>+Tabla15132[[#This Row],[ÁREA QUE CONTRATA ]]</f>
        <v>Sucursal Pereira</v>
      </c>
      <c r="AA96" s="72" t="s">
        <v>405</v>
      </c>
      <c r="AB96" s="60"/>
      <c r="AC96" s="60"/>
      <c r="AD96" s="56" t="s">
        <v>1033</v>
      </c>
      <c r="AE96" s="34">
        <v>0</v>
      </c>
      <c r="AF96" s="34">
        <v>0</v>
      </c>
      <c r="AG96" s="35">
        <v>0</v>
      </c>
      <c r="AH96" s="36" t="s">
        <v>2220</v>
      </c>
      <c r="AK96" s="81">
        <f>+Tabla15132[[#This Row],[VALOR TOTAL DEL CONTRATO CON IVA (VALOR INICIAL + ADICIONES) ]]-Tabla15132[[#This Row],[VALOR PAGADO (EN PESOS)
(TOTAL VR. FACTURAS)]]</f>
        <v>499800</v>
      </c>
    </row>
    <row r="97" spans="1:37" ht="39" x14ac:dyDescent="0.35">
      <c r="A97" s="55" t="s">
        <v>309</v>
      </c>
      <c r="B97" s="2" t="s">
        <v>310</v>
      </c>
      <c r="C97" s="2" t="s">
        <v>389</v>
      </c>
      <c r="D97" s="31" t="s">
        <v>714</v>
      </c>
      <c r="E97" s="96" t="s">
        <v>2221</v>
      </c>
      <c r="F97" s="70">
        <v>45833</v>
      </c>
      <c r="G97" s="30" t="s">
        <v>142</v>
      </c>
      <c r="H97" s="142" t="s">
        <v>2222</v>
      </c>
      <c r="I97" s="38">
        <v>4100000</v>
      </c>
      <c r="J97" s="38">
        <v>779000</v>
      </c>
      <c r="K97" s="7">
        <v>4879000</v>
      </c>
      <c r="L97" s="147" t="s">
        <v>84</v>
      </c>
      <c r="M97" s="67">
        <v>901291054</v>
      </c>
      <c r="N97" s="37" t="s">
        <v>103</v>
      </c>
      <c r="O97" s="1" t="s">
        <v>2223</v>
      </c>
      <c r="P97" s="73" t="s">
        <v>318</v>
      </c>
      <c r="Q97" s="3"/>
      <c r="R97" s="32">
        <f>+Tabla15132[[#This Row],[VALOR INICIAL DEL CONTRATO CON IVA]]+Tabla15132[[#This Row],[VALOR DE LAS ADICIONES CON IVA]]</f>
        <v>4879000</v>
      </c>
      <c r="S97" s="4">
        <f>+Tabla15132[[#This Row],[FECHA TERMINACIÓN INICIAL CONTRATO]]-Tabla15132[[#This Row],[FECHA INICIO CONTRATO]]</f>
        <v>30</v>
      </c>
      <c r="T97" s="24" t="s">
        <v>318</v>
      </c>
      <c r="U97" s="58"/>
      <c r="V97" s="56" t="s">
        <v>318</v>
      </c>
      <c r="W97" s="70">
        <v>45833</v>
      </c>
      <c r="X97" s="70">
        <v>45863</v>
      </c>
      <c r="Y97" s="70">
        <v>45863</v>
      </c>
      <c r="Z97" s="65" t="str">
        <f>+Tabla15132[[#This Row],[ÁREA QUE CONTRATA ]]</f>
        <v>Sucursal Manizales</v>
      </c>
      <c r="AA97" s="72" t="s">
        <v>405</v>
      </c>
      <c r="AB97" s="60"/>
      <c r="AC97" s="60"/>
      <c r="AD97" s="56" t="s">
        <v>1614</v>
      </c>
      <c r="AE97" s="34"/>
      <c r="AF97" s="34"/>
      <c r="AG97" s="35"/>
      <c r="AH97" s="36" t="s">
        <v>2224</v>
      </c>
      <c r="AK97" s="81">
        <f>+Tabla15132[[#This Row],[VALOR TOTAL DEL CONTRATO CON IVA (VALOR INICIAL + ADICIONES) ]]-Tabla15132[[#This Row],[VALOR PAGADO (EN PESOS)
(TOTAL VR. FACTURAS)]]</f>
        <v>4879000</v>
      </c>
    </row>
    <row r="98" spans="1:37" ht="39" x14ac:dyDescent="0.35">
      <c r="A98" s="55" t="s">
        <v>309</v>
      </c>
      <c r="B98" s="2" t="s">
        <v>310</v>
      </c>
      <c r="C98" s="2" t="s">
        <v>341</v>
      </c>
      <c r="D98" s="31" t="s">
        <v>714</v>
      </c>
      <c r="E98" s="96" t="s">
        <v>2225</v>
      </c>
      <c r="F98" s="70">
        <v>45835</v>
      </c>
      <c r="G98" s="30" t="s">
        <v>150</v>
      </c>
      <c r="H98" s="142" t="s">
        <v>2226</v>
      </c>
      <c r="I98" s="38">
        <v>1939000</v>
      </c>
      <c r="J98" s="38">
        <v>368410</v>
      </c>
      <c r="K98" s="7">
        <v>2307410</v>
      </c>
      <c r="L98" s="147" t="s">
        <v>84</v>
      </c>
      <c r="M98" s="67">
        <v>900278869</v>
      </c>
      <c r="N98" s="37" t="s">
        <v>91</v>
      </c>
      <c r="O98" s="1" t="s">
        <v>2227</v>
      </c>
      <c r="P98" s="73" t="s">
        <v>318</v>
      </c>
      <c r="Q98" s="3"/>
      <c r="R98" s="32">
        <f>+Tabla15132[[#This Row],[VALOR INICIAL DEL CONTRATO CON IVA]]+Tabla15132[[#This Row],[VALOR DE LAS ADICIONES CON IVA]]</f>
        <v>2307410</v>
      </c>
      <c r="S98" s="4">
        <f>+Tabla15132[[#This Row],[FECHA TERMINACIÓN INICIAL CONTRATO]]-Tabla15132[[#This Row],[FECHA INICIO CONTRATO]]</f>
        <v>30</v>
      </c>
      <c r="T98" s="24" t="s">
        <v>318</v>
      </c>
      <c r="U98" s="58"/>
      <c r="V98" s="56" t="s">
        <v>318</v>
      </c>
      <c r="W98" s="70">
        <v>45841</v>
      </c>
      <c r="X98" s="70">
        <v>45871</v>
      </c>
      <c r="Y98" s="70">
        <v>45871</v>
      </c>
      <c r="Z98" s="65" t="str">
        <f>+Tabla15132[[#This Row],[ÁREA QUE CONTRATA ]]</f>
        <v>Sucursal Pereira</v>
      </c>
      <c r="AA98" s="72" t="s">
        <v>405</v>
      </c>
      <c r="AB98" s="60"/>
      <c r="AC98" s="60"/>
      <c r="AD98" s="56" t="s">
        <v>1614</v>
      </c>
      <c r="AE98" s="34">
        <v>0</v>
      </c>
      <c r="AF98" s="34">
        <v>0</v>
      </c>
      <c r="AG98" s="35">
        <v>0</v>
      </c>
      <c r="AH98" s="36" t="s">
        <v>2228</v>
      </c>
      <c r="AK98" s="81">
        <f>+Tabla15132[[#This Row],[VALOR TOTAL DEL CONTRATO CON IVA (VALOR INICIAL + ADICIONES) ]]-Tabla15132[[#This Row],[VALOR PAGADO (EN PESOS)
(TOTAL VR. FACTURAS)]]</f>
        <v>2307410</v>
      </c>
    </row>
    <row r="99" spans="1:37" ht="29" x14ac:dyDescent="0.35">
      <c r="A99" s="55" t="s">
        <v>309</v>
      </c>
      <c r="B99" s="2" t="s">
        <v>310</v>
      </c>
      <c r="C99" s="2" t="s">
        <v>326</v>
      </c>
      <c r="D99" s="31" t="s">
        <v>714</v>
      </c>
      <c r="E99" s="96" t="s">
        <v>2229</v>
      </c>
      <c r="F99" s="70">
        <v>45835</v>
      </c>
      <c r="G99" s="30" t="s">
        <v>142</v>
      </c>
      <c r="H99" s="142" t="s">
        <v>2230</v>
      </c>
      <c r="I99" s="38">
        <v>4837500</v>
      </c>
      <c r="J99" s="38">
        <v>110295</v>
      </c>
      <c r="K99" s="7">
        <v>4947795</v>
      </c>
      <c r="L99" s="147" t="s">
        <v>84</v>
      </c>
      <c r="M99" s="67">
        <v>901260512</v>
      </c>
      <c r="N99" s="37" t="s">
        <v>97</v>
      </c>
      <c r="O99" s="1" t="s">
        <v>1054</v>
      </c>
      <c r="P99" s="73" t="s">
        <v>318</v>
      </c>
      <c r="Q99" s="3"/>
      <c r="R99" s="32">
        <f>+Tabla15132[[#This Row],[VALOR INICIAL DEL CONTRATO CON IVA]]+Tabla15132[[#This Row],[VALOR DE LAS ADICIONES CON IVA]]</f>
        <v>4947795</v>
      </c>
      <c r="S99" s="4">
        <f>+Tabla15132[[#This Row],[FECHA TERMINACIÓN INICIAL CONTRATO]]-Tabla15132[[#This Row],[FECHA INICIO CONTRATO]]</f>
        <v>10</v>
      </c>
      <c r="T99" s="24" t="s">
        <v>318</v>
      </c>
      <c r="U99" s="58"/>
      <c r="V99" s="56" t="s">
        <v>318</v>
      </c>
      <c r="W99" s="70">
        <v>45835</v>
      </c>
      <c r="X99" s="70">
        <v>45845</v>
      </c>
      <c r="Y99" s="70">
        <v>45845</v>
      </c>
      <c r="Z99" s="65" t="str">
        <f>+Tabla15132[[#This Row],[ÁREA QUE CONTRATA ]]</f>
        <v>Sucursal Monteria</v>
      </c>
      <c r="AA99" s="72" t="s">
        <v>405</v>
      </c>
      <c r="AB99" s="60"/>
      <c r="AC99" s="60"/>
      <c r="AD99" s="56" t="s">
        <v>1774</v>
      </c>
      <c r="AE99" s="34"/>
      <c r="AF99" s="34"/>
      <c r="AG99" s="35"/>
      <c r="AH99" s="36" t="s">
        <v>2231</v>
      </c>
      <c r="AK99" s="81">
        <f>+Tabla15132[[#This Row],[VALOR TOTAL DEL CONTRATO CON IVA (VALOR INICIAL + ADICIONES) ]]-Tabla15132[[#This Row],[VALOR PAGADO (EN PESOS)
(TOTAL VR. FACTURAS)]]</f>
        <v>4947795</v>
      </c>
    </row>
    <row r="100" spans="1:37" ht="29" x14ac:dyDescent="0.35">
      <c r="A100" s="55"/>
      <c r="C100" s="2" t="s">
        <v>1035</v>
      </c>
      <c r="D100" s="31" t="s">
        <v>714</v>
      </c>
      <c r="E100" s="96" t="s">
        <v>2232</v>
      </c>
      <c r="F100" s="70">
        <v>45840</v>
      </c>
      <c r="G100" s="30" t="s">
        <v>113</v>
      </c>
      <c r="H100" s="142" t="s">
        <v>2233</v>
      </c>
      <c r="I100" s="38">
        <v>1924369</v>
      </c>
      <c r="J100" s="38">
        <v>365631</v>
      </c>
      <c r="K100" s="7">
        <v>2290000</v>
      </c>
      <c r="L100" s="147" t="s">
        <v>84</v>
      </c>
      <c r="M100" s="67">
        <v>891200153</v>
      </c>
      <c r="N100" s="37" t="s">
        <v>91</v>
      </c>
      <c r="O100" s="1" t="s">
        <v>1059</v>
      </c>
      <c r="P100" s="73" t="s">
        <v>318</v>
      </c>
      <c r="Q100" s="3"/>
      <c r="R100" s="32">
        <f>+Tabla15132[[#This Row],[VALOR INICIAL DEL CONTRATO CON IVA]]+Tabla15132[[#This Row],[VALOR DE LAS ADICIONES CON IVA]]</f>
        <v>2290000</v>
      </c>
      <c r="S100" s="4">
        <f>+Tabla15132[[#This Row],[FECHA TERMINACIÓN INICIAL CONTRATO]]-Tabla15132[[#This Row],[FECHA INICIO CONTRATO]]</f>
        <v>7</v>
      </c>
      <c r="T100" s="24" t="s">
        <v>318</v>
      </c>
      <c r="U100" s="58"/>
      <c r="V100" s="56" t="s">
        <v>318</v>
      </c>
      <c r="W100" s="70">
        <v>45840</v>
      </c>
      <c r="X100" s="70">
        <v>45847</v>
      </c>
      <c r="Y100" s="70">
        <v>45847</v>
      </c>
      <c r="Z100" s="65" t="str">
        <f>+Tabla15132[[#This Row],[ÁREA QUE CONTRATA ]]</f>
        <v>Sucursal Pasto</v>
      </c>
      <c r="AA100" s="72" t="s">
        <v>405</v>
      </c>
      <c r="AB100" s="60"/>
      <c r="AC100" s="60"/>
      <c r="AD100" s="56" t="s">
        <v>1062</v>
      </c>
      <c r="AE100" s="34"/>
      <c r="AF100" s="34"/>
      <c r="AG100" s="35"/>
      <c r="AH100" s="36"/>
      <c r="AK100" s="81"/>
    </row>
    <row r="101" spans="1:37" ht="39" x14ac:dyDescent="0.35">
      <c r="A101" s="55" t="s">
        <v>309</v>
      </c>
      <c r="B101" s="2" t="s">
        <v>310</v>
      </c>
      <c r="C101" s="2" t="s">
        <v>1032</v>
      </c>
      <c r="D101" s="31" t="s">
        <v>714</v>
      </c>
      <c r="E101" s="96" t="s">
        <v>2234</v>
      </c>
      <c r="F101" s="70">
        <v>45841</v>
      </c>
      <c r="G101" s="30" t="s">
        <v>150</v>
      </c>
      <c r="H101" s="142" t="s">
        <v>2235</v>
      </c>
      <c r="I101" s="38">
        <v>1300000</v>
      </c>
      <c r="J101" s="38">
        <v>0</v>
      </c>
      <c r="K101" s="7">
        <v>1300000</v>
      </c>
      <c r="L101" s="77" t="s">
        <v>96</v>
      </c>
      <c r="M101" s="67">
        <v>24714939</v>
      </c>
      <c r="N101" s="37"/>
      <c r="O101" s="1" t="s">
        <v>1064</v>
      </c>
      <c r="P101" s="73" t="s">
        <v>318</v>
      </c>
      <c r="Q101" s="3"/>
      <c r="R101" s="32">
        <f>+Tabla15132[[#This Row],[VALOR INICIAL DEL CONTRATO CON IVA]]+Tabla15132[[#This Row],[VALOR DE LAS ADICIONES CON IVA]]</f>
        <v>1300000</v>
      </c>
      <c r="S101" s="4">
        <f>+Tabla15132[[#This Row],[FECHA TERMINACIÓN INICIAL CONTRATO]]-Tabla15132[[#This Row],[FECHA INICIO CONTRATO]]</f>
        <v>0</v>
      </c>
      <c r="T101" s="24" t="s">
        <v>318</v>
      </c>
      <c r="U101" s="58"/>
      <c r="V101" s="56" t="s">
        <v>318</v>
      </c>
      <c r="W101" s="70">
        <v>45842</v>
      </c>
      <c r="X101" s="70">
        <v>45842</v>
      </c>
      <c r="Y101" s="70">
        <v>45842</v>
      </c>
      <c r="Z101" s="65" t="str">
        <f>+Tabla15132[[#This Row],[ÁREA QUE CONTRATA ]]</f>
        <v>Sucursal Yopal</v>
      </c>
      <c r="AA101" s="72" t="s">
        <v>405</v>
      </c>
      <c r="AB101" s="60"/>
      <c r="AC101" s="60"/>
      <c r="AD101" s="56" t="s">
        <v>1501</v>
      </c>
      <c r="AE101" s="34"/>
      <c r="AF101" s="34"/>
      <c r="AG101" s="35"/>
      <c r="AH101" s="36" t="s">
        <v>2236</v>
      </c>
      <c r="AK101" s="81">
        <f>+Tabla15132[[#This Row],[VALOR TOTAL DEL CONTRATO CON IVA (VALOR INICIAL + ADICIONES) ]]-Tabla15132[[#This Row],[VALOR PAGADO (EN PESOS)
(TOTAL VR. FACTURAS)]]</f>
        <v>1300000</v>
      </c>
    </row>
    <row r="102" spans="1:37" ht="39" x14ac:dyDescent="0.35">
      <c r="A102" s="55" t="s">
        <v>309</v>
      </c>
      <c r="B102" s="2" t="s">
        <v>310</v>
      </c>
      <c r="C102" s="2" t="s">
        <v>426</v>
      </c>
      <c r="D102" s="31" t="s">
        <v>714</v>
      </c>
      <c r="E102" s="96" t="s">
        <v>2237</v>
      </c>
      <c r="F102" s="70">
        <v>45841</v>
      </c>
      <c r="G102" s="30" t="s">
        <v>150</v>
      </c>
      <c r="H102" s="142" t="s">
        <v>2238</v>
      </c>
      <c r="I102" s="38">
        <v>2520000</v>
      </c>
      <c r="J102" s="38">
        <v>201600</v>
      </c>
      <c r="K102" s="7">
        <v>2721600</v>
      </c>
      <c r="L102" s="77" t="s">
        <v>84</v>
      </c>
      <c r="M102" s="67">
        <v>890500516</v>
      </c>
      <c r="N102" s="37" t="s">
        <v>103</v>
      </c>
      <c r="O102" s="1" t="s">
        <v>2239</v>
      </c>
      <c r="P102" s="73" t="s">
        <v>318</v>
      </c>
      <c r="Q102" s="3"/>
      <c r="R102" s="32">
        <v>2721600</v>
      </c>
      <c r="S102" s="4">
        <f>+Tabla15132[[#This Row],[FECHA TERMINACIÓN INICIAL CONTRATO]]-Tabla15132[[#This Row],[FECHA INICIO CONTRATO]]</f>
        <v>0</v>
      </c>
      <c r="T102" s="24" t="s">
        <v>318</v>
      </c>
      <c r="U102" s="58"/>
      <c r="V102" s="56" t="s">
        <v>318</v>
      </c>
      <c r="W102" s="70">
        <v>45842</v>
      </c>
      <c r="X102" s="70">
        <v>45842</v>
      </c>
      <c r="Y102" s="70">
        <v>45842</v>
      </c>
      <c r="Z102" s="65" t="str">
        <f>+Tabla15132[[#This Row],[ÁREA QUE CONTRATA ]]</f>
        <v>Sucursal Cúcuta</v>
      </c>
      <c r="AA102" s="72" t="s">
        <v>405</v>
      </c>
      <c r="AB102" s="60"/>
      <c r="AC102" s="60"/>
      <c r="AD102" s="56" t="s">
        <v>1501</v>
      </c>
      <c r="AE102" s="34">
        <v>1</v>
      </c>
      <c r="AF102" s="34">
        <v>1</v>
      </c>
      <c r="AG102" s="35">
        <v>2721600</v>
      </c>
      <c r="AH102" s="36" t="s">
        <v>2240</v>
      </c>
      <c r="AK102" s="81">
        <f>+Tabla15132[[#This Row],[VALOR TOTAL DEL CONTRATO CON IVA (VALOR INICIAL + ADICIONES) ]]-Tabla15132[[#This Row],[VALOR PAGADO (EN PESOS)
(TOTAL VR. FACTURAS)]]</f>
        <v>0</v>
      </c>
    </row>
    <row r="103" spans="1:37" ht="29" x14ac:dyDescent="0.35">
      <c r="A103" s="55" t="s">
        <v>309</v>
      </c>
      <c r="B103" s="2" t="s">
        <v>310</v>
      </c>
      <c r="C103" s="2" t="s">
        <v>326</v>
      </c>
      <c r="D103" s="31" t="s">
        <v>714</v>
      </c>
      <c r="E103" s="96" t="s">
        <v>2241</v>
      </c>
      <c r="F103" s="70">
        <v>45848</v>
      </c>
      <c r="G103" s="30" t="s">
        <v>150</v>
      </c>
      <c r="H103" s="142" t="s">
        <v>2242</v>
      </c>
      <c r="I103" s="38">
        <v>2180000</v>
      </c>
      <c r="J103" s="38">
        <v>414200</v>
      </c>
      <c r="K103" s="7">
        <v>2594200</v>
      </c>
      <c r="L103" s="77" t="s">
        <v>84</v>
      </c>
      <c r="M103" s="67">
        <v>901172924</v>
      </c>
      <c r="N103" s="37" t="s">
        <v>114</v>
      </c>
      <c r="O103" s="1" t="s">
        <v>2243</v>
      </c>
      <c r="P103" s="73" t="s">
        <v>318</v>
      </c>
      <c r="Q103" s="3"/>
      <c r="R103" s="32">
        <f>+Tabla15132[[#This Row],[VALOR INICIAL DEL CONTRATO CON IVA]]+Tabla15132[[#This Row],[VALOR DE LAS ADICIONES CON IVA]]</f>
        <v>2594200</v>
      </c>
      <c r="S103" s="4">
        <f>+Tabla15132[[#This Row],[FECHA TERMINACIÓN INICIAL CONTRATO]]-Tabla15132[[#This Row],[FECHA INICIO CONTRATO]]</f>
        <v>0</v>
      </c>
      <c r="T103" s="24" t="s">
        <v>318</v>
      </c>
      <c r="U103" s="58"/>
      <c r="V103" s="56" t="s">
        <v>318</v>
      </c>
      <c r="W103" s="70">
        <v>45848</v>
      </c>
      <c r="X103" s="70">
        <v>45848</v>
      </c>
      <c r="Y103" s="70">
        <v>45848</v>
      </c>
      <c r="Z103" s="65" t="str">
        <f>+Tabla15132[[#This Row],[ÁREA QUE CONTRATA ]]</f>
        <v>Sucursal Monteria</v>
      </c>
      <c r="AA103" s="72" t="s">
        <v>405</v>
      </c>
      <c r="AB103" s="60"/>
      <c r="AC103" s="60"/>
      <c r="AD103" s="56" t="s">
        <v>1501</v>
      </c>
      <c r="AE103" s="34"/>
      <c r="AF103" s="34"/>
      <c r="AG103" s="35"/>
      <c r="AH103" s="36" t="s">
        <v>2244</v>
      </c>
      <c r="AK103" s="81">
        <f>+Tabla15132[[#This Row],[VALOR TOTAL DEL CONTRATO CON IVA (VALOR INICIAL + ADICIONES) ]]-Tabla15132[[#This Row],[VALOR PAGADO (EN PESOS)
(TOTAL VR. FACTURAS)]]</f>
        <v>2594200</v>
      </c>
    </row>
    <row r="104" spans="1:37" ht="52" x14ac:dyDescent="0.35">
      <c r="A104" s="55" t="s">
        <v>309</v>
      </c>
      <c r="B104" s="2" t="s">
        <v>310</v>
      </c>
      <c r="C104" s="2" t="s">
        <v>389</v>
      </c>
      <c r="D104" s="31" t="s">
        <v>714</v>
      </c>
      <c r="E104" s="96" t="s">
        <v>2245</v>
      </c>
      <c r="F104" s="70">
        <v>45848</v>
      </c>
      <c r="G104" s="30" t="s">
        <v>150</v>
      </c>
      <c r="H104" s="142" t="s">
        <v>2246</v>
      </c>
      <c r="I104" s="38">
        <v>2603798</v>
      </c>
      <c r="J104" s="38">
        <v>356202</v>
      </c>
      <c r="K104" s="7">
        <v>2960000</v>
      </c>
      <c r="L104" s="147" t="s">
        <v>84</v>
      </c>
      <c r="M104" s="67">
        <v>890801733</v>
      </c>
      <c r="N104" s="37" t="s">
        <v>117</v>
      </c>
      <c r="O104" s="1" t="s">
        <v>2247</v>
      </c>
      <c r="P104" s="73" t="s">
        <v>318</v>
      </c>
      <c r="Q104" s="3"/>
      <c r="R104" s="32">
        <f>+Tabla15132[[#This Row],[VALOR INICIAL DEL CONTRATO CON IVA]]+Tabla15132[[#This Row],[VALOR DE LAS ADICIONES CON IVA]]</f>
        <v>2960000</v>
      </c>
      <c r="S104" s="4">
        <f>+Tabla15132[[#This Row],[FECHA TERMINACIÓN INICIAL CONTRATO]]-Tabla15132[[#This Row],[FECHA INICIO CONTRATO]]</f>
        <v>0</v>
      </c>
      <c r="T104" s="24" t="s">
        <v>318</v>
      </c>
      <c r="U104" s="58"/>
      <c r="V104" s="56" t="s">
        <v>318</v>
      </c>
      <c r="W104" s="70">
        <v>45849</v>
      </c>
      <c r="X104" s="70">
        <v>45849</v>
      </c>
      <c r="Y104" s="70">
        <v>45849</v>
      </c>
      <c r="Z104" s="65" t="str">
        <f>+Tabla15132[[#This Row],[ÁREA QUE CONTRATA ]]</f>
        <v>Sucursal Manizales</v>
      </c>
      <c r="AA104" s="72" t="s">
        <v>405</v>
      </c>
      <c r="AB104" s="60"/>
      <c r="AC104" s="60"/>
      <c r="AD104" s="56" t="s">
        <v>1501</v>
      </c>
      <c r="AE104" s="34"/>
      <c r="AF104" s="34"/>
      <c r="AG104" s="35"/>
      <c r="AH104" s="36" t="s">
        <v>2248</v>
      </c>
      <c r="AK104" s="81">
        <f>+Tabla15132[[#This Row],[VALOR TOTAL DEL CONTRATO CON IVA (VALOR INICIAL + ADICIONES) ]]-Tabla15132[[#This Row],[VALOR PAGADO (EN PESOS)
(TOTAL VR. FACTURAS)]]</f>
        <v>2960000</v>
      </c>
    </row>
    <row r="105" spans="1:37" ht="29" x14ac:dyDescent="0.35">
      <c r="A105" s="55" t="s">
        <v>309</v>
      </c>
      <c r="B105" s="2" t="s">
        <v>310</v>
      </c>
      <c r="C105" s="2" t="s">
        <v>311</v>
      </c>
      <c r="D105" s="31" t="s">
        <v>714</v>
      </c>
      <c r="E105" s="96" t="s">
        <v>2249</v>
      </c>
      <c r="F105" s="70">
        <v>45848</v>
      </c>
      <c r="G105" s="30" t="s">
        <v>142</v>
      </c>
      <c r="H105" s="142" t="s">
        <v>2250</v>
      </c>
      <c r="I105" s="38">
        <v>390000</v>
      </c>
      <c r="J105" s="38">
        <v>95000</v>
      </c>
      <c r="K105" s="7">
        <v>485000</v>
      </c>
      <c r="L105" s="147" t="s">
        <v>96</v>
      </c>
      <c r="M105" s="67">
        <v>1116800873</v>
      </c>
      <c r="N105" s="37"/>
      <c r="O105" s="1" t="s">
        <v>2194</v>
      </c>
      <c r="P105" s="73" t="s">
        <v>318</v>
      </c>
      <c r="Q105" s="3"/>
      <c r="R105" s="32">
        <f>+Tabla15132[[#This Row],[VALOR INICIAL DEL CONTRATO CON IVA]]+Tabla15132[[#This Row],[VALOR DE LAS ADICIONES CON IVA]]</f>
        <v>485000</v>
      </c>
      <c r="S105" s="4">
        <f>+Tabla15132[[#This Row],[FECHA TERMINACIÓN INICIAL CONTRATO]]-Tabla15132[[#This Row],[FECHA INICIO CONTRATO]]</f>
        <v>6</v>
      </c>
      <c r="T105" s="24" t="s">
        <v>318</v>
      </c>
      <c r="U105" s="58"/>
      <c r="V105" s="56" t="s">
        <v>318</v>
      </c>
      <c r="W105" s="70">
        <v>45849</v>
      </c>
      <c r="X105" s="70">
        <v>45855</v>
      </c>
      <c r="Y105" s="70">
        <v>45855</v>
      </c>
      <c r="Z105" s="65" t="str">
        <f>+Tabla15132[[#This Row],[ÁREA QUE CONTRATA ]]</f>
        <v>Sucursal Arauca</v>
      </c>
      <c r="AA105" s="72" t="s">
        <v>405</v>
      </c>
      <c r="AB105" s="60"/>
      <c r="AC105" s="60"/>
      <c r="AD105" s="56" t="s">
        <v>1614</v>
      </c>
      <c r="AE105" s="34"/>
      <c r="AF105" s="34"/>
      <c r="AG105" s="35"/>
      <c r="AH105" s="36" t="s">
        <v>2251</v>
      </c>
      <c r="AK105" s="81">
        <f>+Tabla15132[[#This Row],[VALOR TOTAL DEL CONTRATO CON IVA (VALOR INICIAL + ADICIONES) ]]-Tabla15132[[#This Row],[VALOR PAGADO (EN PESOS)
(TOTAL VR. FACTURAS)]]</f>
        <v>485000</v>
      </c>
    </row>
    <row r="106" spans="1:37" ht="29" x14ac:dyDescent="0.35">
      <c r="A106" s="55" t="s">
        <v>309</v>
      </c>
      <c r="B106" s="2" t="s">
        <v>310</v>
      </c>
      <c r="C106" s="2" t="s">
        <v>389</v>
      </c>
      <c r="D106" s="31" t="s">
        <v>714</v>
      </c>
      <c r="E106" s="96" t="s">
        <v>2252</v>
      </c>
      <c r="F106" s="70">
        <v>45855</v>
      </c>
      <c r="G106" s="30" t="s">
        <v>113</v>
      </c>
      <c r="H106" s="142" t="s">
        <v>2253</v>
      </c>
      <c r="I106" s="38">
        <v>5000800</v>
      </c>
      <c r="J106" s="38">
        <v>0</v>
      </c>
      <c r="K106" s="7">
        <v>5000800</v>
      </c>
      <c r="L106" s="147" t="s">
        <v>84</v>
      </c>
      <c r="M106" s="67">
        <v>900977777</v>
      </c>
      <c r="N106" s="37" t="s">
        <v>91</v>
      </c>
      <c r="O106" s="1" t="s">
        <v>2254</v>
      </c>
      <c r="P106" s="73" t="s">
        <v>318</v>
      </c>
      <c r="Q106" s="3"/>
      <c r="R106" s="32">
        <f>+Tabla15132[[#This Row],[VALOR INICIAL DEL CONTRATO CON IVA]]+Tabla15132[[#This Row],[VALOR DE LAS ADICIONES CON IVA]]</f>
        <v>5000800</v>
      </c>
      <c r="S106" s="4">
        <f>+Tabla15132[[#This Row],[FECHA TERMINACIÓN INICIAL CONTRATO]]-Tabla15132[[#This Row],[FECHA INICIO CONTRATO]]</f>
        <v>30</v>
      </c>
      <c r="T106" s="24" t="s">
        <v>318</v>
      </c>
      <c r="U106" s="58"/>
      <c r="V106" s="56" t="s">
        <v>318</v>
      </c>
      <c r="W106" s="70">
        <v>45855</v>
      </c>
      <c r="X106" s="70">
        <v>45885</v>
      </c>
      <c r="Y106" s="70">
        <v>45885</v>
      </c>
      <c r="Z106" s="65" t="str">
        <f>+Tabla15132[[#This Row],[ÁREA QUE CONTRATA ]]</f>
        <v>Sucursal Manizales</v>
      </c>
      <c r="AA106" s="72" t="s">
        <v>405</v>
      </c>
      <c r="AB106" s="60"/>
      <c r="AC106" s="60"/>
      <c r="AD106" s="56" t="s">
        <v>1062</v>
      </c>
      <c r="AE106" s="34"/>
      <c r="AF106" s="34"/>
      <c r="AG106" s="35"/>
      <c r="AH106" s="36" t="s">
        <v>2255</v>
      </c>
      <c r="AK106" s="81">
        <f>+Tabla15132[[#This Row],[VALOR TOTAL DEL CONTRATO CON IVA (VALOR INICIAL + ADICIONES) ]]-Tabla15132[[#This Row],[VALOR PAGADO (EN PESOS)
(TOTAL VR. FACTURAS)]]</f>
        <v>5000800</v>
      </c>
    </row>
    <row r="107" spans="1:37" ht="39" x14ac:dyDescent="0.35">
      <c r="A107" s="55" t="s">
        <v>309</v>
      </c>
      <c r="B107" s="2" t="s">
        <v>310</v>
      </c>
      <c r="C107" s="2" t="s">
        <v>1035</v>
      </c>
      <c r="D107" s="31" t="s">
        <v>313</v>
      </c>
      <c r="E107" s="96" t="s">
        <v>2256</v>
      </c>
      <c r="F107" s="70">
        <v>45856</v>
      </c>
      <c r="G107" s="30" t="s">
        <v>150</v>
      </c>
      <c r="H107" s="142" t="s">
        <v>2257</v>
      </c>
      <c r="I107" s="38">
        <v>2620000</v>
      </c>
      <c r="J107" s="38">
        <v>497000</v>
      </c>
      <c r="K107" s="7">
        <v>3117000</v>
      </c>
      <c r="L107" s="147" t="s">
        <v>84</v>
      </c>
      <c r="M107" s="67">
        <v>900490382</v>
      </c>
      <c r="N107" s="37" t="s">
        <v>108</v>
      </c>
      <c r="O107" s="1" t="s">
        <v>2258</v>
      </c>
      <c r="P107" s="73" t="s">
        <v>318</v>
      </c>
      <c r="Q107" s="3"/>
      <c r="R107" s="32">
        <f>+Tabla15132[[#This Row],[VALOR INICIAL DEL CONTRATO CON IVA]]+Tabla15132[[#This Row],[VALOR DE LAS ADICIONES CON IVA]]</f>
        <v>3117000</v>
      </c>
      <c r="S107" s="4">
        <f>+Tabla15132[[#This Row],[FECHA TERMINACIÓN INICIAL CONTRATO]]-Tabla15132[[#This Row],[FECHA INICIO CONTRATO]]</f>
        <v>0</v>
      </c>
      <c r="T107" s="24" t="s">
        <v>318</v>
      </c>
      <c r="U107" s="58"/>
      <c r="V107" s="56" t="s">
        <v>318</v>
      </c>
      <c r="W107" s="70">
        <v>45857</v>
      </c>
      <c r="X107" s="70">
        <v>45857</v>
      </c>
      <c r="Y107" s="70">
        <v>45857</v>
      </c>
      <c r="Z107" s="65" t="str">
        <f>+Tabla15132[[#This Row],[ÁREA QUE CONTRATA ]]</f>
        <v>Sucursal Pasto</v>
      </c>
      <c r="AA107" s="72" t="s">
        <v>405</v>
      </c>
      <c r="AB107" s="60"/>
      <c r="AC107" s="60"/>
      <c r="AD107" s="56" t="s">
        <v>1501</v>
      </c>
      <c r="AE107" s="34"/>
      <c r="AF107" s="34"/>
      <c r="AG107" s="35"/>
      <c r="AH107" s="36" t="s">
        <v>2259</v>
      </c>
      <c r="AK107" s="81">
        <f>+Tabla15132[[#This Row],[VALOR TOTAL DEL CONTRATO CON IVA (VALOR INICIAL + ADICIONES) ]]-Tabla15132[[#This Row],[VALOR PAGADO (EN PESOS)
(TOTAL VR. FACTURAS)]]</f>
        <v>3117000</v>
      </c>
    </row>
    <row r="108" spans="1:37" ht="29" x14ac:dyDescent="0.35">
      <c r="A108" s="55" t="s">
        <v>309</v>
      </c>
      <c r="B108" s="2" t="s">
        <v>310</v>
      </c>
      <c r="C108" s="2" t="s">
        <v>1976</v>
      </c>
      <c r="D108" s="31" t="s">
        <v>714</v>
      </c>
      <c r="E108" s="96" t="s">
        <v>2260</v>
      </c>
      <c r="F108" s="70">
        <v>45856</v>
      </c>
      <c r="G108" s="30" t="s">
        <v>150</v>
      </c>
      <c r="H108" s="142" t="s">
        <v>2261</v>
      </c>
      <c r="I108" s="38">
        <v>2300000</v>
      </c>
      <c r="J108" s="38">
        <v>0</v>
      </c>
      <c r="K108" s="7">
        <v>2300000</v>
      </c>
      <c r="L108" s="147" t="s">
        <v>96</v>
      </c>
      <c r="M108" s="67">
        <v>43630836</v>
      </c>
      <c r="N108" s="37"/>
      <c r="O108" s="1" t="s">
        <v>2262</v>
      </c>
      <c r="P108" s="73" t="s">
        <v>318</v>
      </c>
      <c r="Q108" s="3"/>
      <c r="R108" s="32">
        <f>+Tabla15132[[#This Row],[VALOR INICIAL DEL CONTRATO CON IVA]]+Tabla15132[[#This Row],[VALOR DE LAS ADICIONES CON IVA]]</f>
        <v>2300000</v>
      </c>
      <c r="S108" s="4">
        <f>+Tabla15132[[#This Row],[FECHA TERMINACIÓN INICIAL CONTRATO]]-Tabla15132[[#This Row],[FECHA INICIO CONTRATO]]</f>
        <v>0</v>
      </c>
      <c r="T108" s="24" t="s">
        <v>318</v>
      </c>
      <c r="U108" s="58"/>
      <c r="V108" s="56" t="s">
        <v>318</v>
      </c>
      <c r="W108" s="70">
        <v>45857</v>
      </c>
      <c r="X108" s="70">
        <v>45857</v>
      </c>
      <c r="Y108" s="70">
        <v>45857</v>
      </c>
      <c r="Z108" s="65" t="str">
        <f>+Tabla15132[[#This Row],[ÁREA QUE CONTRATA ]]</f>
        <v>Sucursal Popayan</v>
      </c>
      <c r="AA108" s="72" t="s">
        <v>405</v>
      </c>
      <c r="AB108" s="60"/>
      <c r="AC108" s="60"/>
      <c r="AD108" s="56" t="s">
        <v>1501</v>
      </c>
      <c r="AE108" s="34">
        <v>1</v>
      </c>
      <c r="AF108" s="34">
        <v>1</v>
      </c>
      <c r="AG108" s="35">
        <v>2300000</v>
      </c>
      <c r="AH108" s="36" t="s">
        <v>2263</v>
      </c>
      <c r="AK108" s="81">
        <f>+Tabla15132[[#This Row],[VALOR TOTAL DEL CONTRATO CON IVA (VALOR INICIAL + ADICIONES) ]]-Tabla15132[[#This Row],[VALOR PAGADO (EN PESOS)
(TOTAL VR. FACTURAS)]]</f>
        <v>0</v>
      </c>
    </row>
    <row r="109" spans="1:37" ht="29" x14ac:dyDescent="0.35">
      <c r="A109" s="55" t="s">
        <v>309</v>
      </c>
      <c r="B109" s="2" t="s">
        <v>310</v>
      </c>
      <c r="C109" s="2" t="s">
        <v>1031</v>
      </c>
      <c r="D109" s="31" t="s">
        <v>714</v>
      </c>
      <c r="E109" s="96" t="s">
        <v>2264</v>
      </c>
      <c r="F109" s="70">
        <v>45856</v>
      </c>
      <c r="G109" s="30" t="s">
        <v>150</v>
      </c>
      <c r="H109" s="142" t="s">
        <v>2265</v>
      </c>
      <c r="I109" s="38">
        <v>2564000</v>
      </c>
      <c r="J109" s="38">
        <v>0</v>
      </c>
      <c r="K109" s="7">
        <v>2564000</v>
      </c>
      <c r="L109" s="147" t="s">
        <v>84</v>
      </c>
      <c r="M109" s="67">
        <v>800096951</v>
      </c>
      <c r="N109" s="37" t="s">
        <v>103</v>
      </c>
      <c r="O109" s="1" t="s">
        <v>2266</v>
      </c>
      <c r="P109" s="73" t="s">
        <v>318</v>
      </c>
      <c r="Q109" s="3"/>
      <c r="R109" s="32">
        <f>+Tabla15132[[#This Row],[VALOR INICIAL DEL CONTRATO CON IVA]]+Tabla15132[[#This Row],[VALOR DE LAS ADICIONES CON IVA]]</f>
        <v>2564000</v>
      </c>
      <c r="S109" s="4">
        <f>+Tabla15132[[#This Row],[FECHA TERMINACIÓN INICIAL CONTRATO]]-Tabla15132[[#This Row],[FECHA INICIO CONTRATO]]</f>
        <v>0</v>
      </c>
      <c r="T109" s="24" t="s">
        <v>318</v>
      </c>
      <c r="U109" s="58"/>
      <c r="V109" s="56" t="s">
        <v>318</v>
      </c>
      <c r="W109" s="70">
        <v>45864</v>
      </c>
      <c r="X109" s="70">
        <v>45864</v>
      </c>
      <c r="Y109" s="70">
        <v>45864</v>
      </c>
      <c r="Z109" s="65" t="str">
        <f>+Tabla15132[[#This Row],[ÁREA QUE CONTRATA ]]</f>
        <v>Sucursal Armenia</v>
      </c>
      <c r="AA109" s="72" t="s">
        <v>405</v>
      </c>
      <c r="AB109" s="60"/>
      <c r="AC109" s="60"/>
      <c r="AD109" s="56" t="s">
        <v>1501</v>
      </c>
      <c r="AE109" s="34"/>
      <c r="AF109" s="34"/>
      <c r="AG109" s="35"/>
      <c r="AH109" s="36" t="s">
        <v>2267</v>
      </c>
      <c r="AK109" s="81">
        <f>+Tabla15132[[#This Row],[VALOR TOTAL DEL CONTRATO CON IVA (VALOR INICIAL + ADICIONES) ]]-Tabla15132[[#This Row],[VALOR PAGADO (EN PESOS)
(TOTAL VR. FACTURAS)]]</f>
        <v>2564000</v>
      </c>
    </row>
    <row r="110" spans="1:37" ht="65" x14ac:dyDescent="0.35">
      <c r="A110" s="55" t="s">
        <v>309</v>
      </c>
      <c r="B110" s="2" t="s">
        <v>310</v>
      </c>
      <c r="C110" s="2" t="s">
        <v>1038</v>
      </c>
      <c r="D110" s="31" t="s">
        <v>714</v>
      </c>
      <c r="E110" s="96" t="s">
        <v>2268</v>
      </c>
      <c r="F110" s="70">
        <v>45860</v>
      </c>
      <c r="G110" s="30" t="s">
        <v>150</v>
      </c>
      <c r="H110" s="142" t="s">
        <v>2269</v>
      </c>
      <c r="I110" s="38">
        <v>1540000</v>
      </c>
      <c r="J110" s="38">
        <v>123200</v>
      </c>
      <c r="K110" s="7">
        <v>1663200</v>
      </c>
      <c r="L110" s="147" t="s">
        <v>96</v>
      </c>
      <c r="M110" s="67">
        <v>12552821</v>
      </c>
      <c r="N110" s="37"/>
      <c r="O110" s="1" t="s">
        <v>1067</v>
      </c>
      <c r="P110" s="73" t="s">
        <v>318</v>
      </c>
      <c r="Q110" s="3"/>
      <c r="R110" s="32">
        <f>+Tabla15132[[#This Row],[VALOR INICIAL DEL CONTRATO CON IVA]]+Tabla15132[[#This Row],[VALOR DE LAS ADICIONES CON IVA]]</f>
        <v>1663200</v>
      </c>
      <c r="S110" s="4">
        <f>+Tabla15132[[#This Row],[FECHA TERMINACIÓN INICIAL CONTRATO]]-Tabla15132[[#This Row],[FECHA INICIO CONTRATO]]</f>
        <v>14</v>
      </c>
      <c r="T110" s="24" t="s">
        <v>318</v>
      </c>
      <c r="U110" s="58"/>
      <c r="V110" s="56" t="s">
        <v>318</v>
      </c>
      <c r="W110" s="70">
        <v>45860</v>
      </c>
      <c r="X110" s="70">
        <v>45874</v>
      </c>
      <c r="Y110" s="70">
        <v>45874</v>
      </c>
      <c r="Z110" s="65" t="str">
        <f>+Tabla15132[[#This Row],[ÁREA QUE CONTRATA ]]</f>
        <v>Sucursal Riohacha</v>
      </c>
      <c r="AA110" s="72" t="s">
        <v>405</v>
      </c>
      <c r="AB110" s="60"/>
      <c r="AC110" s="60"/>
      <c r="AD110" s="56" t="s">
        <v>1501</v>
      </c>
      <c r="AE110" s="34">
        <v>1</v>
      </c>
      <c r="AF110" s="34">
        <v>1</v>
      </c>
      <c r="AG110" s="35">
        <v>1663200</v>
      </c>
      <c r="AH110" s="36" t="s">
        <v>2270</v>
      </c>
      <c r="AK110" s="81">
        <f>+Tabla15132[[#This Row],[VALOR TOTAL DEL CONTRATO CON IVA (VALOR INICIAL + ADICIONES) ]]-Tabla15132[[#This Row],[VALOR PAGADO (EN PESOS)
(TOTAL VR. FACTURAS)]]</f>
        <v>0</v>
      </c>
    </row>
    <row r="111" spans="1:37" ht="29" x14ac:dyDescent="0.35">
      <c r="A111" s="55" t="s">
        <v>309</v>
      </c>
      <c r="B111" s="2" t="s">
        <v>310</v>
      </c>
      <c r="C111" s="2" t="s">
        <v>321</v>
      </c>
      <c r="D111" s="31" t="s">
        <v>714</v>
      </c>
      <c r="E111" s="96" t="s">
        <v>2271</v>
      </c>
      <c r="F111" s="70">
        <v>45862</v>
      </c>
      <c r="G111" s="30" t="s">
        <v>150</v>
      </c>
      <c r="H111" s="142" t="s">
        <v>2272</v>
      </c>
      <c r="I111" s="38">
        <v>2960000</v>
      </c>
      <c r="J111" s="38">
        <v>562400</v>
      </c>
      <c r="K111" s="7">
        <v>3522400</v>
      </c>
      <c r="L111" s="147" t="s">
        <v>96</v>
      </c>
      <c r="M111" s="67">
        <v>1110061665</v>
      </c>
      <c r="N111" s="37"/>
      <c r="O111" s="1" t="s">
        <v>2273</v>
      </c>
      <c r="P111" s="73" t="s">
        <v>318</v>
      </c>
      <c r="Q111" s="3"/>
      <c r="R111" s="32">
        <f>+Tabla15132[[#This Row],[VALOR INICIAL DEL CONTRATO CON IVA]]+Tabla15132[[#This Row],[VALOR DE LAS ADICIONES CON IVA]]</f>
        <v>3522400</v>
      </c>
      <c r="S111" s="4">
        <f>+Tabla15132[[#This Row],[FECHA TERMINACIÓN INICIAL CONTRATO]]-Tabla15132[[#This Row],[FECHA INICIO CONTRATO]]</f>
        <v>10</v>
      </c>
      <c r="T111" s="24" t="s">
        <v>318</v>
      </c>
      <c r="U111" s="58"/>
      <c r="V111" s="56" t="s">
        <v>318</v>
      </c>
      <c r="W111" s="70">
        <v>45863</v>
      </c>
      <c r="X111" s="70">
        <v>45873</v>
      </c>
      <c r="Y111" s="70">
        <v>45873</v>
      </c>
      <c r="Z111" s="65" t="str">
        <f>+Tabla15132[[#This Row],[ÁREA QUE CONTRATA ]]</f>
        <v>Sucursal Ibagué</v>
      </c>
      <c r="AA111" s="72" t="s">
        <v>405</v>
      </c>
      <c r="AB111" s="60"/>
      <c r="AC111" s="60"/>
      <c r="AD111" s="56" t="s">
        <v>1501</v>
      </c>
      <c r="AE111" s="34"/>
      <c r="AF111" s="34"/>
      <c r="AG111" s="35"/>
      <c r="AH111" s="36" t="s">
        <v>2274</v>
      </c>
      <c r="AK111" s="81">
        <f>+Tabla15132[[#This Row],[VALOR TOTAL DEL CONTRATO CON IVA (VALOR INICIAL + ADICIONES) ]]-Tabla15132[[#This Row],[VALOR PAGADO (EN PESOS)
(TOTAL VR. FACTURAS)]]</f>
        <v>3522400</v>
      </c>
    </row>
    <row r="112" spans="1:37" ht="52" x14ac:dyDescent="0.35">
      <c r="A112" s="55" t="s">
        <v>309</v>
      </c>
      <c r="B112" s="2" t="s">
        <v>310</v>
      </c>
      <c r="C112" s="2" t="s">
        <v>385</v>
      </c>
      <c r="D112" s="31" t="s">
        <v>714</v>
      </c>
      <c r="E112" s="96" t="s">
        <v>2275</v>
      </c>
      <c r="F112" s="70">
        <v>45863</v>
      </c>
      <c r="G112" s="30" t="s">
        <v>150</v>
      </c>
      <c r="H112" s="142" t="s">
        <v>2276</v>
      </c>
      <c r="I112" s="38">
        <v>1460000</v>
      </c>
      <c r="J112" s="38">
        <v>0</v>
      </c>
      <c r="K112" s="7">
        <v>1460000</v>
      </c>
      <c r="L112" s="147" t="s">
        <v>96</v>
      </c>
      <c r="M112" s="67">
        <v>1100691246</v>
      </c>
      <c r="N112" s="37"/>
      <c r="O112" s="1" t="s">
        <v>2277</v>
      </c>
      <c r="P112" s="73" t="s">
        <v>318</v>
      </c>
      <c r="Q112" s="3"/>
      <c r="R112" s="32">
        <f>+Tabla15132[[#This Row],[VALOR INICIAL DEL CONTRATO CON IVA]]+Tabla15132[[#This Row],[VALOR DE LAS ADICIONES CON IVA]]</f>
        <v>1460000</v>
      </c>
      <c r="S112" s="4">
        <f>+Tabla15132[[#This Row],[FECHA TERMINACIÓN INICIAL CONTRATO]]-Tabla15132[[#This Row],[FECHA INICIO CONTRATO]]</f>
        <v>12</v>
      </c>
      <c r="T112" s="24" t="s">
        <v>318</v>
      </c>
      <c r="U112" s="58"/>
      <c r="V112" s="56" t="s">
        <v>318</v>
      </c>
      <c r="W112" s="70">
        <v>45863</v>
      </c>
      <c r="X112" s="70">
        <v>45875</v>
      </c>
      <c r="Y112" s="70">
        <v>45875</v>
      </c>
      <c r="Z112" s="65" t="str">
        <f>+Tabla15132[[#This Row],[ÁREA QUE CONTRATA ]]</f>
        <v>Sucursal Sincelejo</v>
      </c>
      <c r="AA112" s="72" t="s">
        <v>405</v>
      </c>
      <c r="AB112" s="60"/>
      <c r="AC112" s="60"/>
      <c r="AD112" s="56" t="s">
        <v>2278</v>
      </c>
      <c r="AE112" s="34"/>
      <c r="AF112" s="34"/>
      <c r="AG112" s="35"/>
      <c r="AH112" s="36" t="s">
        <v>2279</v>
      </c>
      <c r="AK112" s="81">
        <f>+Tabla15132[[#This Row],[VALOR TOTAL DEL CONTRATO CON IVA (VALOR INICIAL + ADICIONES) ]]-Tabla15132[[#This Row],[VALOR PAGADO (EN PESOS)
(TOTAL VR. FACTURAS)]]</f>
        <v>1460000</v>
      </c>
    </row>
    <row r="113" spans="1:37" ht="43" customHeight="1" x14ac:dyDescent="0.35">
      <c r="A113" s="55" t="s">
        <v>309</v>
      </c>
      <c r="B113" s="2" t="s">
        <v>310</v>
      </c>
      <c r="C113" s="2" t="s">
        <v>349</v>
      </c>
      <c r="D113" s="31" t="s">
        <v>714</v>
      </c>
      <c r="E113" s="96" t="s">
        <v>2280</v>
      </c>
      <c r="F113" s="70">
        <v>45856</v>
      </c>
      <c r="G113" s="30" t="s">
        <v>150</v>
      </c>
      <c r="H113" s="142" t="s">
        <v>2281</v>
      </c>
      <c r="I113" s="38">
        <v>3160000</v>
      </c>
      <c r="J113" s="38">
        <v>229818</v>
      </c>
      <c r="K113" s="7">
        <v>3389818</v>
      </c>
      <c r="L113" s="147" t="s">
        <v>90</v>
      </c>
      <c r="M113" s="67">
        <v>900594137</v>
      </c>
      <c r="N113" s="150" t="s">
        <v>103</v>
      </c>
      <c r="O113" s="1" t="s">
        <v>2282</v>
      </c>
      <c r="P113" s="73" t="s">
        <v>318</v>
      </c>
      <c r="Q113" s="3"/>
      <c r="R113" s="32">
        <f>+Tabla15132[[#This Row],[VALOR INICIAL DEL CONTRATO CON IVA]]+Tabla15132[[#This Row],[VALOR DE LAS ADICIONES CON IVA]]</f>
        <v>3389818</v>
      </c>
      <c r="S113" s="4">
        <f>+Tabla15132[[#This Row],[FECHA TERMINACIÓN INICIAL CONTRATO]]-Tabla15132[[#This Row],[FECHA INICIO CONTRATO]]</f>
        <v>8</v>
      </c>
      <c r="T113" s="24" t="s">
        <v>318</v>
      </c>
      <c r="U113" s="58"/>
      <c r="V113" s="56" t="s">
        <v>318</v>
      </c>
      <c r="W113" s="70">
        <v>45856</v>
      </c>
      <c r="X113" s="70">
        <v>45864</v>
      </c>
      <c r="Y113" s="70">
        <v>45864</v>
      </c>
      <c r="Z113" s="65" t="str">
        <f>+Tabla15132[[#This Row],[ÁREA QUE CONTRATA ]]</f>
        <v>Sucursal Cartagena</v>
      </c>
      <c r="AA113" s="72" t="s">
        <v>405</v>
      </c>
      <c r="AB113" s="60"/>
      <c r="AC113" s="60"/>
      <c r="AD113" s="56" t="s">
        <v>1501</v>
      </c>
      <c r="AE113" s="34">
        <v>1</v>
      </c>
      <c r="AF113" s="34">
        <v>1</v>
      </c>
      <c r="AG113" s="35">
        <v>3389818</v>
      </c>
      <c r="AH113" s="36" t="s">
        <v>2283</v>
      </c>
      <c r="AK113" s="81">
        <f>+Tabla15132[[#This Row],[VALOR TOTAL DEL CONTRATO CON IVA (VALOR INICIAL + ADICIONES) ]]-Tabla15132[[#This Row],[VALOR PAGADO (EN PESOS)
(TOTAL VR. FACTURAS)]]</f>
        <v>0</v>
      </c>
    </row>
    <row r="114" spans="1:37" ht="72.5" customHeight="1" x14ac:dyDescent="0.35">
      <c r="A114" s="55" t="s">
        <v>309</v>
      </c>
      <c r="B114" s="2" t="s">
        <v>310</v>
      </c>
      <c r="C114" s="2" t="s">
        <v>403</v>
      </c>
      <c r="D114" s="31" t="s">
        <v>714</v>
      </c>
      <c r="E114" s="96" t="s">
        <v>2284</v>
      </c>
      <c r="F114" s="70">
        <v>45862</v>
      </c>
      <c r="G114" s="30" t="s">
        <v>113</v>
      </c>
      <c r="H114" s="142" t="s">
        <v>2285</v>
      </c>
      <c r="I114" s="38">
        <v>4699000</v>
      </c>
      <c r="J114" s="38">
        <v>0</v>
      </c>
      <c r="K114" s="7">
        <v>4699000</v>
      </c>
      <c r="L114" s="147" t="s">
        <v>96</v>
      </c>
      <c r="M114" s="67">
        <v>5348893</v>
      </c>
      <c r="N114" s="37"/>
      <c r="O114" s="1" t="s">
        <v>1039</v>
      </c>
      <c r="P114" s="73" t="s">
        <v>318</v>
      </c>
      <c r="Q114" s="3"/>
      <c r="R114" s="32">
        <f>+Tabla15132[[#This Row],[VALOR INICIAL DEL CONTRATO CON IVA]]+Tabla15132[[#This Row],[VALOR DE LAS ADICIONES CON IVA]]</f>
        <v>4699000</v>
      </c>
      <c r="S114" s="4">
        <f>+Tabla15132[[#This Row],[FECHA TERMINACIÓN INICIAL CONTRATO]]-Tabla15132[[#This Row],[FECHA INICIO CONTRATO]]</f>
        <v>152</v>
      </c>
      <c r="T114" s="24" t="s">
        <v>318</v>
      </c>
      <c r="U114" s="58"/>
      <c r="V114" s="56" t="s">
        <v>318</v>
      </c>
      <c r="W114" s="70">
        <v>45862</v>
      </c>
      <c r="X114" s="70">
        <v>46014</v>
      </c>
      <c r="Y114" s="70">
        <v>46014</v>
      </c>
      <c r="Z114" s="65" t="str">
        <f>+Tabla15132[[#This Row],[ÁREA QUE CONTRATA ]]</f>
        <v>Sucursal Mocoa</v>
      </c>
      <c r="AA114" s="72" t="s">
        <v>2060</v>
      </c>
      <c r="AB114" s="60"/>
      <c r="AC114" s="60"/>
      <c r="AD114" s="56" t="s">
        <v>1614</v>
      </c>
      <c r="AE114" s="34">
        <v>1</v>
      </c>
      <c r="AF114" s="34">
        <v>1</v>
      </c>
      <c r="AG114" s="35">
        <v>4699000</v>
      </c>
      <c r="AH114" s="36" t="s">
        <v>2286</v>
      </c>
      <c r="AK114" s="81">
        <f>+Tabla15132[[#This Row],[VALOR TOTAL DEL CONTRATO CON IVA (VALOR INICIAL + ADICIONES) ]]-Tabla15132[[#This Row],[VALOR PAGADO (EN PESOS)
(TOTAL VR. FACTURAS)]]</f>
        <v>0</v>
      </c>
    </row>
    <row r="115" spans="1:37" ht="29" x14ac:dyDescent="0.35">
      <c r="A115" s="55" t="s">
        <v>309</v>
      </c>
      <c r="B115" s="2" t="s">
        <v>310</v>
      </c>
      <c r="C115" s="2" t="s">
        <v>353</v>
      </c>
      <c r="D115" s="31" t="s">
        <v>714</v>
      </c>
      <c r="E115" s="96" t="s">
        <v>2287</v>
      </c>
      <c r="F115" s="70">
        <v>45867</v>
      </c>
      <c r="G115" s="30" t="s">
        <v>113</v>
      </c>
      <c r="H115" s="142" t="s">
        <v>2288</v>
      </c>
      <c r="I115" s="38">
        <v>1875000</v>
      </c>
      <c r="J115" s="38">
        <v>356250</v>
      </c>
      <c r="K115" s="7">
        <v>2231250</v>
      </c>
      <c r="L115" s="147" t="s">
        <v>84</v>
      </c>
      <c r="M115" s="67">
        <v>830001338</v>
      </c>
      <c r="N115" s="37" t="s">
        <v>91</v>
      </c>
      <c r="O115" s="1" t="s">
        <v>1743</v>
      </c>
      <c r="P115" s="73" t="s">
        <v>318</v>
      </c>
      <c r="Q115" s="3"/>
      <c r="R115" s="32">
        <f>+Tabla15132[[#This Row],[VALOR INICIAL DEL CONTRATO CON IVA]]+Tabla15132[[#This Row],[VALOR DE LAS ADICIONES CON IVA]]</f>
        <v>2231250</v>
      </c>
      <c r="S115" s="4">
        <f>+Tabla15132[[#This Row],[FECHA TERMINACIÓN INICIAL CONTRATO]]-Tabla15132[[#This Row],[FECHA INICIO CONTRATO]]</f>
        <v>60</v>
      </c>
      <c r="T115" s="24" t="s">
        <v>318</v>
      </c>
      <c r="U115" s="58"/>
      <c r="V115" s="56" t="s">
        <v>318</v>
      </c>
      <c r="W115" s="70">
        <v>45867</v>
      </c>
      <c r="X115" s="70">
        <v>45927</v>
      </c>
      <c r="Y115" s="70">
        <v>45927</v>
      </c>
      <c r="Z115" s="65" t="str">
        <f>+Tabla15132[[#This Row],[ÁREA QUE CONTRATA ]]</f>
        <v>Sucursal Medellin</v>
      </c>
      <c r="AA115" s="72" t="s">
        <v>405</v>
      </c>
      <c r="AB115" s="60"/>
      <c r="AC115" s="60"/>
      <c r="AD115" s="56" t="s">
        <v>1062</v>
      </c>
      <c r="AE115" s="34"/>
      <c r="AF115" s="34"/>
      <c r="AG115" s="35"/>
      <c r="AH115" s="36" t="s">
        <v>2289</v>
      </c>
      <c r="AK115" s="81">
        <f>+Tabla15132[[#This Row],[VALOR TOTAL DEL CONTRATO CON IVA (VALOR INICIAL + ADICIONES) ]]-Tabla15132[[#This Row],[VALOR PAGADO (EN PESOS)
(TOTAL VR. FACTURAS)]]</f>
        <v>2231250</v>
      </c>
    </row>
    <row r="116" spans="1:37" ht="63" customHeight="1" x14ac:dyDescent="0.35">
      <c r="A116" s="55" t="s">
        <v>309</v>
      </c>
      <c r="B116" s="2" t="s">
        <v>310</v>
      </c>
      <c r="C116" s="2" t="s">
        <v>311</v>
      </c>
      <c r="D116" s="31" t="s">
        <v>714</v>
      </c>
      <c r="E116" s="96" t="s">
        <v>2290</v>
      </c>
      <c r="F116" s="70">
        <v>45870</v>
      </c>
      <c r="G116" s="30" t="s">
        <v>113</v>
      </c>
      <c r="H116" s="142" t="s">
        <v>2291</v>
      </c>
      <c r="I116" s="38">
        <v>50300000</v>
      </c>
      <c r="J116" s="38">
        <v>0</v>
      </c>
      <c r="K116" s="7">
        <v>50300000</v>
      </c>
      <c r="L116" s="147" t="s">
        <v>96</v>
      </c>
      <c r="M116" s="67">
        <v>5348893</v>
      </c>
      <c r="N116" s="37"/>
      <c r="O116" s="1" t="s">
        <v>1039</v>
      </c>
      <c r="P116" s="73" t="s">
        <v>318</v>
      </c>
      <c r="Q116" s="3"/>
      <c r="R116" s="32">
        <f>+Tabla15132[[#This Row],[VALOR INICIAL DEL CONTRATO CON IVA]]+Tabla15132[[#This Row],[VALOR DE LAS ADICIONES CON IVA]]</f>
        <v>50300000</v>
      </c>
      <c r="S116" s="4">
        <f>+Tabla15132[[#This Row],[FECHA TERMINACIÓN INICIAL CONTRATO]]-Tabla15132[[#This Row],[FECHA INICIO CONTRATO]]</f>
        <v>365</v>
      </c>
      <c r="T116" s="24" t="s">
        <v>318</v>
      </c>
      <c r="U116" s="58"/>
      <c r="V116" s="56" t="s">
        <v>318</v>
      </c>
      <c r="W116" s="70">
        <v>45875</v>
      </c>
      <c r="X116" s="70">
        <v>46240</v>
      </c>
      <c r="Y116" s="70">
        <v>46240</v>
      </c>
      <c r="Z116" s="65" t="str">
        <f>+Tabla15132[[#This Row],[ÁREA QUE CONTRATA ]]</f>
        <v>Sucursal Arauca</v>
      </c>
      <c r="AA116" s="72" t="s">
        <v>405</v>
      </c>
      <c r="AB116" s="60"/>
      <c r="AC116" s="60"/>
      <c r="AD116" s="56" t="s">
        <v>2292</v>
      </c>
      <c r="AE116" s="34"/>
      <c r="AF116" s="34"/>
      <c r="AG116" s="35"/>
      <c r="AH116" s="36" t="s">
        <v>2293</v>
      </c>
      <c r="AK116" s="81">
        <f>+Tabla15132[[#This Row],[VALOR TOTAL DEL CONTRATO CON IVA (VALOR INICIAL + ADICIONES) ]]-Tabla15132[[#This Row],[VALOR PAGADO (EN PESOS)
(TOTAL VR. FACTURAS)]]</f>
        <v>50300000</v>
      </c>
    </row>
    <row r="117" spans="1:37" ht="29" x14ac:dyDescent="0.35">
      <c r="A117" s="55" t="s">
        <v>309</v>
      </c>
      <c r="B117" s="2" t="s">
        <v>310</v>
      </c>
      <c r="C117" s="2" t="s">
        <v>344</v>
      </c>
      <c r="D117" s="31" t="s">
        <v>714</v>
      </c>
      <c r="E117" s="96" t="s">
        <v>2294</v>
      </c>
      <c r="F117" s="70">
        <v>45869</v>
      </c>
      <c r="G117" s="30" t="s">
        <v>150</v>
      </c>
      <c r="H117" s="142" t="s">
        <v>2295</v>
      </c>
      <c r="I117" s="38">
        <v>1558140</v>
      </c>
      <c r="J117" s="38">
        <v>135260</v>
      </c>
      <c r="K117" s="7">
        <v>1693400</v>
      </c>
      <c r="L117" s="147" t="s">
        <v>84</v>
      </c>
      <c r="M117" s="67">
        <v>892000146</v>
      </c>
      <c r="N117" s="37" t="s">
        <v>103</v>
      </c>
      <c r="O117" s="1" t="s">
        <v>2296</v>
      </c>
      <c r="P117" s="73" t="s">
        <v>318</v>
      </c>
      <c r="Q117" s="3"/>
      <c r="R117" s="32">
        <f>+Tabla15132[[#This Row],[VALOR INICIAL DEL CONTRATO CON IVA]]+Tabla15132[[#This Row],[VALOR DE LAS ADICIONES CON IVA]]</f>
        <v>1693400</v>
      </c>
      <c r="S117" s="4">
        <f>+Tabla15132[[#This Row],[FECHA TERMINACIÓN INICIAL CONTRATO]]-Tabla15132[[#This Row],[FECHA INICIO CONTRATO]]</f>
        <v>9</v>
      </c>
      <c r="T117" s="24" t="s">
        <v>318</v>
      </c>
      <c r="U117" s="58"/>
      <c r="V117" s="56" t="s">
        <v>318</v>
      </c>
      <c r="W117" s="70">
        <v>45869</v>
      </c>
      <c r="X117" s="70">
        <v>45878</v>
      </c>
      <c r="Y117" s="70">
        <v>45878</v>
      </c>
      <c r="Z117" s="65" t="str">
        <f>+Tabla15132[[#This Row],[ÁREA QUE CONTRATA ]]</f>
        <v>Sucursal Villavicencio</v>
      </c>
      <c r="AA117" s="72" t="s">
        <v>405</v>
      </c>
      <c r="AB117" s="60"/>
      <c r="AC117" s="60"/>
      <c r="AD117" s="56" t="s">
        <v>1501</v>
      </c>
      <c r="AE117" s="34">
        <v>1</v>
      </c>
      <c r="AF117" s="34">
        <v>1</v>
      </c>
      <c r="AG117" s="35">
        <v>1693400</v>
      </c>
      <c r="AH117" s="36" t="s">
        <v>2297</v>
      </c>
      <c r="AK117" s="81">
        <f>+Tabla15132[[#This Row],[VALOR TOTAL DEL CONTRATO CON IVA (VALOR INICIAL + ADICIONES) ]]-Tabla15132[[#This Row],[VALOR PAGADO (EN PESOS)
(TOTAL VR. FACTURAS)]]</f>
        <v>0</v>
      </c>
    </row>
    <row r="118" spans="1:37" ht="39" x14ac:dyDescent="0.35">
      <c r="A118" s="55" t="s">
        <v>309</v>
      </c>
      <c r="B118" s="2" t="s">
        <v>310</v>
      </c>
      <c r="C118" s="2" t="s">
        <v>1029</v>
      </c>
      <c r="D118" s="31" t="s">
        <v>714</v>
      </c>
      <c r="E118" s="96" t="s">
        <v>2298</v>
      </c>
      <c r="F118" s="70">
        <v>45869</v>
      </c>
      <c r="G118" s="30" t="s">
        <v>150</v>
      </c>
      <c r="H118" s="142" t="s">
        <v>2299</v>
      </c>
      <c r="I118" s="38">
        <v>3040000</v>
      </c>
      <c r="J118" s="38"/>
      <c r="K118" s="7">
        <v>3040000</v>
      </c>
      <c r="L118" s="147" t="s">
        <v>84</v>
      </c>
      <c r="M118" s="67">
        <v>891800213</v>
      </c>
      <c r="N118" s="37" t="s">
        <v>120</v>
      </c>
      <c r="O118" s="1" t="s">
        <v>2300</v>
      </c>
      <c r="P118" s="73" t="s">
        <v>318</v>
      </c>
      <c r="Q118" s="3"/>
      <c r="R118" s="32">
        <f>+Tabla15132[[#This Row],[VALOR INICIAL DEL CONTRATO CON IVA]]+Tabla15132[[#This Row],[VALOR DE LAS ADICIONES CON IVA]]</f>
        <v>3040000</v>
      </c>
      <c r="S118" s="4">
        <f>+Tabla15132[[#This Row],[FECHA TERMINACIÓN INICIAL CONTRATO]]-Tabla15132[[#This Row],[FECHA INICIO CONTRATO]]</f>
        <v>0</v>
      </c>
      <c r="T118" s="24" t="s">
        <v>318</v>
      </c>
      <c r="U118" s="58"/>
      <c r="V118" s="56" t="s">
        <v>318</v>
      </c>
      <c r="W118" s="70">
        <v>45870</v>
      </c>
      <c r="X118" s="70">
        <v>45870</v>
      </c>
      <c r="Y118" s="70">
        <v>45870</v>
      </c>
      <c r="Z118" s="65" t="str">
        <f>+Tabla15132[[#This Row],[ÁREA QUE CONTRATA ]]</f>
        <v>Sucursal Tunja</v>
      </c>
      <c r="AA118" s="72" t="s">
        <v>405</v>
      </c>
      <c r="AB118" s="60"/>
      <c r="AC118" s="60"/>
      <c r="AD118" s="56" t="s">
        <v>1501</v>
      </c>
      <c r="AE118" s="34"/>
      <c r="AF118" s="34"/>
      <c r="AG118" s="35"/>
      <c r="AH118" s="36" t="s">
        <v>2301</v>
      </c>
      <c r="AK118" s="81">
        <f>+Tabla15132[[#This Row],[VALOR TOTAL DEL CONTRATO CON IVA (VALOR INICIAL + ADICIONES) ]]-Tabla15132[[#This Row],[VALOR PAGADO (EN PESOS)
(TOTAL VR. FACTURAS)]]</f>
        <v>3040000</v>
      </c>
    </row>
    <row r="119" spans="1:37" ht="39" x14ac:dyDescent="0.35">
      <c r="A119" s="55" t="s">
        <v>309</v>
      </c>
      <c r="B119" s="2" t="s">
        <v>310</v>
      </c>
      <c r="C119" s="2" t="s">
        <v>1976</v>
      </c>
      <c r="D119" s="31" t="s">
        <v>714</v>
      </c>
      <c r="E119" s="96" t="s">
        <v>2302</v>
      </c>
      <c r="F119" s="70">
        <v>45870</v>
      </c>
      <c r="G119" s="30" t="s">
        <v>113</v>
      </c>
      <c r="H119" s="142" t="s">
        <v>2303</v>
      </c>
      <c r="I119" s="38">
        <v>4900000</v>
      </c>
      <c r="J119" s="38">
        <v>0</v>
      </c>
      <c r="K119" s="7">
        <v>4900000</v>
      </c>
      <c r="L119" s="147" t="s">
        <v>96</v>
      </c>
      <c r="M119" s="67">
        <v>76304191</v>
      </c>
      <c r="N119" s="37"/>
      <c r="O119" s="1" t="s">
        <v>1068</v>
      </c>
      <c r="P119" s="73" t="s">
        <v>318</v>
      </c>
      <c r="Q119" s="3"/>
      <c r="R119" s="32">
        <f>+Tabla15132[[#This Row],[VALOR INICIAL DEL CONTRATO CON IVA]]+Tabla15132[[#This Row],[VALOR DE LAS ADICIONES CON IVA]]</f>
        <v>4900000</v>
      </c>
      <c r="S119" s="4">
        <f>+Tabla15132[[#This Row],[FECHA TERMINACIÓN INICIAL CONTRATO]]-Tabla15132[[#This Row],[FECHA INICIO CONTRATO]]</f>
        <v>4</v>
      </c>
      <c r="T119" s="24" t="s">
        <v>318</v>
      </c>
      <c r="U119" s="58"/>
      <c r="V119" s="56" t="s">
        <v>318</v>
      </c>
      <c r="W119" s="70">
        <v>45870</v>
      </c>
      <c r="X119" s="70">
        <v>45874</v>
      </c>
      <c r="Y119" s="70">
        <v>45874</v>
      </c>
      <c r="Z119" s="65" t="str">
        <f>+Tabla15132[[#This Row],[ÁREA QUE CONTRATA ]]</f>
        <v>Sucursal Popayan</v>
      </c>
      <c r="AA119" s="72" t="s">
        <v>405</v>
      </c>
      <c r="AB119" s="60"/>
      <c r="AC119" s="60"/>
      <c r="AD119" s="56" t="s">
        <v>1062</v>
      </c>
      <c r="AE119" s="34">
        <v>1</v>
      </c>
      <c r="AF119" s="34">
        <v>1</v>
      </c>
      <c r="AG119" s="35">
        <v>4900000</v>
      </c>
      <c r="AH119" s="36" t="s">
        <v>2304</v>
      </c>
      <c r="AK119" s="81">
        <f>+Tabla15132[[#This Row],[VALOR TOTAL DEL CONTRATO CON IVA (VALOR INICIAL + ADICIONES) ]]-Tabla15132[[#This Row],[VALOR PAGADO (EN PESOS)
(TOTAL VR. FACTURAS)]]</f>
        <v>0</v>
      </c>
    </row>
    <row r="120" spans="1:37" ht="29" x14ac:dyDescent="0.35">
      <c r="A120" s="55" t="s">
        <v>309</v>
      </c>
      <c r="B120" s="2" t="s">
        <v>310</v>
      </c>
      <c r="C120" s="2" t="s">
        <v>389</v>
      </c>
      <c r="D120" s="31" t="s">
        <v>714</v>
      </c>
      <c r="E120" s="96" t="s">
        <v>2305</v>
      </c>
      <c r="F120" s="70">
        <v>45873</v>
      </c>
      <c r="G120" s="30" t="s">
        <v>150</v>
      </c>
      <c r="H120" s="142" t="s">
        <v>2306</v>
      </c>
      <c r="I120" s="38">
        <v>1520000</v>
      </c>
      <c r="J120" s="38">
        <v>121600</v>
      </c>
      <c r="K120" s="7">
        <v>1641600</v>
      </c>
      <c r="L120" s="147" t="s">
        <v>84</v>
      </c>
      <c r="M120" s="67">
        <v>901868787</v>
      </c>
      <c r="N120" s="37" t="s">
        <v>91</v>
      </c>
      <c r="O120" s="1" t="s">
        <v>2033</v>
      </c>
      <c r="P120" s="73" t="s">
        <v>318</v>
      </c>
      <c r="Q120" s="3"/>
      <c r="R120" s="32">
        <f>+Tabla15132[[#This Row],[VALOR INICIAL DEL CONTRATO CON IVA]]+Tabla15132[[#This Row],[VALOR DE LAS ADICIONES CON IVA]]</f>
        <v>1641600</v>
      </c>
      <c r="S120" s="4">
        <f>+Tabla15132[[#This Row],[FECHA TERMINACIÓN INICIAL CONTRATO]]-Tabla15132[[#This Row],[FECHA INICIO CONTRATO]]</f>
        <v>0</v>
      </c>
      <c r="T120" s="24" t="s">
        <v>318</v>
      </c>
      <c r="U120" s="58"/>
      <c r="V120" s="56" t="s">
        <v>318</v>
      </c>
      <c r="W120" s="70">
        <v>45875</v>
      </c>
      <c r="X120" s="70">
        <v>45875</v>
      </c>
      <c r="Y120" s="70">
        <v>45875</v>
      </c>
      <c r="Z120" s="65" t="str">
        <f>+Tabla15132[[#This Row],[ÁREA QUE CONTRATA ]]</f>
        <v>Sucursal Manizales</v>
      </c>
      <c r="AA120" s="72" t="s">
        <v>405</v>
      </c>
      <c r="AB120" s="60"/>
      <c r="AC120" s="60"/>
      <c r="AD120" s="56" t="s">
        <v>1501</v>
      </c>
      <c r="AE120" s="34"/>
      <c r="AF120" s="34"/>
      <c r="AG120" s="35"/>
      <c r="AH120" s="36" t="s">
        <v>2307</v>
      </c>
      <c r="AK120" s="81">
        <f>+Tabla15132[[#This Row],[VALOR TOTAL DEL CONTRATO CON IVA (VALOR INICIAL + ADICIONES) ]]-Tabla15132[[#This Row],[VALOR PAGADO (EN PESOS)
(TOTAL VR. FACTURAS)]]</f>
        <v>1641600</v>
      </c>
    </row>
    <row r="121" spans="1:37" ht="29" x14ac:dyDescent="0.35">
      <c r="A121" s="55" t="s">
        <v>309</v>
      </c>
      <c r="B121" s="2" t="s">
        <v>310</v>
      </c>
      <c r="C121" s="2" t="s">
        <v>381</v>
      </c>
      <c r="D121" s="31" t="s">
        <v>714</v>
      </c>
      <c r="E121" s="96" t="s">
        <v>2308</v>
      </c>
      <c r="F121" s="70">
        <v>45874</v>
      </c>
      <c r="G121" s="30" t="s">
        <v>150</v>
      </c>
      <c r="H121" s="142" t="s">
        <v>2309</v>
      </c>
      <c r="I121" s="38">
        <v>2080000</v>
      </c>
      <c r="J121" s="38">
        <v>395200</v>
      </c>
      <c r="K121" s="7">
        <v>2475200</v>
      </c>
      <c r="L121" s="147" t="s">
        <v>84</v>
      </c>
      <c r="M121" s="67">
        <v>901887177</v>
      </c>
      <c r="N121" s="37" t="s">
        <v>91</v>
      </c>
      <c r="O121" s="1" t="s">
        <v>2310</v>
      </c>
      <c r="P121" s="73" t="s">
        <v>318</v>
      </c>
      <c r="Q121" s="3">
        <v>0</v>
      </c>
      <c r="R121" s="32">
        <f>+Tabla15132[[#This Row],[VALOR INICIAL DEL CONTRATO CON IVA]]+Tabla15132[[#This Row],[VALOR DE LAS ADICIONES CON IVA]]</f>
        <v>2475200</v>
      </c>
      <c r="S121" s="4">
        <f>+Tabla15132[[#This Row],[FECHA TERMINACIÓN INICIAL CONTRATO]]-Tabla15132[[#This Row],[FECHA INICIO CONTRATO]]</f>
        <v>0</v>
      </c>
      <c r="T121" s="24" t="s">
        <v>318</v>
      </c>
      <c r="U121" s="58"/>
      <c r="V121" s="56" t="s">
        <v>318</v>
      </c>
      <c r="W121" s="70">
        <v>45875</v>
      </c>
      <c r="X121" s="70">
        <v>45875</v>
      </c>
      <c r="Y121" s="70">
        <v>45875</v>
      </c>
      <c r="Z121" s="65" t="str">
        <f>+Tabla15132[[#This Row],[ÁREA QUE CONTRATA ]]</f>
        <v>Sucursal Bucaramanga</v>
      </c>
      <c r="AA121" s="72" t="s">
        <v>405</v>
      </c>
      <c r="AB121" s="60"/>
      <c r="AC121" s="60"/>
      <c r="AD121" s="56" t="s">
        <v>1501</v>
      </c>
      <c r="AE121" s="34">
        <v>0.92800000000000005</v>
      </c>
      <c r="AF121" s="34">
        <v>0.92800000000000005</v>
      </c>
      <c r="AG121" s="35">
        <v>2297040</v>
      </c>
      <c r="AH121" s="36" t="s">
        <v>2311</v>
      </c>
      <c r="AK121" s="81">
        <f>+Tabla15132[[#This Row],[VALOR TOTAL DEL CONTRATO CON IVA (VALOR INICIAL + ADICIONES) ]]-Tabla15132[[#This Row],[VALOR PAGADO (EN PESOS)
(TOTAL VR. FACTURAS)]]</f>
        <v>178160</v>
      </c>
    </row>
    <row r="122" spans="1:37" ht="39" x14ac:dyDescent="0.35">
      <c r="A122" s="55" t="s">
        <v>309</v>
      </c>
      <c r="B122" s="2" t="s">
        <v>310</v>
      </c>
      <c r="C122" s="2" t="s">
        <v>341</v>
      </c>
      <c r="D122" s="31" t="s">
        <v>714</v>
      </c>
      <c r="E122" s="96" t="s">
        <v>2312</v>
      </c>
      <c r="F122" s="70">
        <v>45874</v>
      </c>
      <c r="G122" s="30" t="s">
        <v>150</v>
      </c>
      <c r="H122" s="142" t="s">
        <v>2313</v>
      </c>
      <c r="I122" s="38">
        <v>1400000</v>
      </c>
      <c r="J122" s="38">
        <v>112000</v>
      </c>
      <c r="K122" s="7">
        <v>1512000</v>
      </c>
      <c r="L122" s="147" t="s">
        <v>84</v>
      </c>
      <c r="M122" s="67">
        <v>901797146</v>
      </c>
      <c r="N122" s="37" t="s">
        <v>111</v>
      </c>
      <c r="O122" s="1" t="s">
        <v>2314</v>
      </c>
      <c r="P122" s="73" t="s">
        <v>318</v>
      </c>
      <c r="Q122" s="3"/>
      <c r="R122" s="32">
        <f>+Tabla15132[[#This Row],[VALOR INICIAL DEL CONTRATO CON IVA]]+Tabla15132[[#This Row],[VALOR DE LAS ADICIONES CON IVA]]</f>
        <v>1512000</v>
      </c>
      <c r="S122" s="4">
        <f>+Tabla15132[[#This Row],[FECHA TERMINACIÓN INICIAL CONTRATO]]-Tabla15132[[#This Row],[FECHA INICIO CONTRATO]]</f>
        <v>0</v>
      </c>
      <c r="T122" s="24" t="s">
        <v>318</v>
      </c>
      <c r="U122" s="58"/>
      <c r="V122" s="56" t="s">
        <v>318</v>
      </c>
      <c r="W122" s="70">
        <v>45875</v>
      </c>
      <c r="X122" s="70">
        <v>45875</v>
      </c>
      <c r="Y122" s="70">
        <v>45875</v>
      </c>
      <c r="Z122" s="65" t="str">
        <f>+Tabla15132[[#This Row],[ÁREA QUE CONTRATA ]]</f>
        <v>Sucursal Pereira</v>
      </c>
      <c r="AA122" s="72" t="s">
        <v>405</v>
      </c>
      <c r="AB122" s="60"/>
      <c r="AC122" s="60"/>
      <c r="AD122" s="56" t="s">
        <v>1501</v>
      </c>
      <c r="AE122" s="34"/>
      <c r="AF122" s="34"/>
      <c r="AG122" s="35"/>
      <c r="AH122" s="36" t="s">
        <v>2315</v>
      </c>
      <c r="AK122" s="81">
        <f>+Tabla15132[[#This Row],[VALOR TOTAL DEL CONTRATO CON IVA (VALOR INICIAL + ADICIONES) ]]-Tabla15132[[#This Row],[VALOR PAGADO (EN PESOS)
(TOTAL VR. FACTURAS)]]</f>
        <v>1512000</v>
      </c>
    </row>
    <row r="123" spans="1:37" ht="29" x14ac:dyDescent="0.35">
      <c r="A123" s="55" t="s">
        <v>309</v>
      </c>
      <c r="B123" s="2" t="s">
        <v>310</v>
      </c>
      <c r="C123" s="2" t="s">
        <v>326</v>
      </c>
      <c r="D123" s="31" t="s">
        <v>714</v>
      </c>
      <c r="E123" s="96" t="s">
        <v>2316</v>
      </c>
      <c r="F123" s="70">
        <v>45874</v>
      </c>
      <c r="G123" s="30" t="s">
        <v>150</v>
      </c>
      <c r="H123" s="142" t="s">
        <v>2317</v>
      </c>
      <c r="I123" s="38">
        <v>1280000</v>
      </c>
      <c r="J123" s="38">
        <v>102400</v>
      </c>
      <c r="K123" s="7">
        <v>1382400</v>
      </c>
      <c r="L123" s="147" t="s">
        <v>96</v>
      </c>
      <c r="M123" s="67">
        <v>50929989</v>
      </c>
      <c r="N123" s="37"/>
      <c r="O123" s="1" t="s">
        <v>2070</v>
      </c>
      <c r="P123" s="73" t="s">
        <v>318</v>
      </c>
      <c r="Q123" s="3"/>
      <c r="R123" s="32">
        <f>+Tabla15132[[#This Row],[VALOR INICIAL DEL CONTRATO CON IVA]]+Tabla15132[[#This Row],[VALOR DE LAS ADICIONES CON IVA]]</f>
        <v>1382400</v>
      </c>
      <c r="S123" s="4">
        <f>+Tabla15132[[#This Row],[FECHA TERMINACIÓN INICIAL CONTRATO]]-Tabla15132[[#This Row],[FECHA INICIO CONTRATO]]</f>
        <v>0</v>
      </c>
      <c r="T123" s="24" t="s">
        <v>318</v>
      </c>
      <c r="U123" s="58"/>
      <c r="V123" s="56" t="s">
        <v>318</v>
      </c>
      <c r="W123" s="70">
        <v>45875</v>
      </c>
      <c r="X123" s="70">
        <v>45875</v>
      </c>
      <c r="Y123" s="70">
        <v>45875</v>
      </c>
      <c r="Z123" s="65" t="str">
        <f>+Tabla15132[[#This Row],[ÁREA QUE CONTRATA ]]</f>
        <v>Sucursal Monteria</v>
      </c>
      <c r="AA123" s="72" t="s">
        <v>405</v>
      </c>
      <c r="AB123" s="60"/>
      <c r="AC123" s="60"/>
      <c r="AD123" s="56" t="s">
        <v>1501</v>
      </c>
      <c r="AE123" s="34"/>
      <c r="AF123" s="34"/>
      <c r="AG123" s="35"/>
      <c r="AH123" s="36" t="s">
        <v>2318</v>
      </c>
      <c r="AK123" s="81">
        <f>+Tabla15132[[#This Row],[VALOR TOTAL DEL CONTRATO CON IVA (VALOR INICIAL + ADICIONES) ]]-Tabla15132[[#This Row],[VALOR PAGADO (EN PESOS)
(TOTAL VR. FACTURAS)]]</f>
        <v>1382400</v>
      </c>
    </row>
    <row r="124" spans="1:37" ht="29" x14ac:dyDescent="0.35">
      <c r="A124" s="55" t="s">
        <v>309</v>
      </c>
      <c r="B124" s="2" t="s">
        <v>310</v>
      </c>
      <c r="C124" s="2" t="s">
        <v>393</v>
      </c>
      <c r="D124" s="31" t="s">
        <v>714</v>
      </c>
      <c r="E124" s="96" t="s">
        <v>2319</v>
      </c>
      <c r="F124" s="70">
        <v>45874</v>
      </c>
      <c r="G124" s="30" t="s">
        <v>150</v>
      </c>
      <c r="H124" s="142" t="s">
        <v>2320</v>
      </c>
      <c r="I124" s="38">
        <v>3775234</v>
      </c>
      <c r="J124" s="38">
        <v>374766</v>
      </c>
      <c r="K124" s="7">
        <v>4150000</v>
      </c>
      <c r="L124" s="147" t="s">
        <v>84</v>
      </c>
      <c r="M124" s="67">
        <v>901324042</v>
      </c>
      <c r="N124" s="37" t="s">
        <v>123</v>
      </c>
      <c r="O124" s="1" t="s">
        <v>2321</v>
      </c>
      <c r="P124" s="73" t="s">
        <v>318</v>
      </c>
      <c r="Q124" s="3"/>
      <c r="R124" s="32">
        <f>+Tabla15132[[#This Row],[VALOR INICIAL DEL CONTRATO CON IVA]]+Tabla15132[[#This Row],[VALOR DE LAS ADICIONES CON IVA]]</f>
        <v>4150000</v>
      </c>
      <c r="S124" s="4">
        <f>+Tabla15132[[#This Row],[FECHA TERMINACIÓN INICIAL CONTRATO]]-Tabla15132[[#This Row],[FECHA INICIO CONTRATO]]</f>
        <v>0</v>
      </c>
      <c r="T124" s="24" t="s">
        <v>318</v>
      </c>
      <c r="U124" s="58"/>
      <c r="V124" s="56" t="s">
        <v>318</v>
      </c>
      <c r="W124" s="70">
        <v>45875</v>
      </c>
      <c r="X124" s="70">
        <v>45875</v>
      </c>
      <c r="Y124" s="70">
        <v>45875</v>
      </c>
      <c r="Z124" s="65" t="str">
        <f>+Tabla15132[[#This Row],[ÁREA QUE CONTRATA ]]</f>
        <v>Sucursal Cali</v>
      </c>
      <c r="AA124" s="72" t="s">
        <v>405</v>
      </c>
      <c r="AB124" s="60"/>
      <c r="AC124" s="60"/>
      <c r="AD124" s="56" t="s">
        <v>1501</v>
      </c>
      <c r="AE124" s="34">
        <v>1</v>
      </c>
      <c r="AF124" s="34">
        <v>1</v>
      </c>
      <c r="AG124" s="35">
        <v>4150000</v>
      </c>
      <c r="AH124" s="36" t="s">
        <v>2322</v>
      </c>
      <c r="AK124" s="81">
        <f>+Tabla15132[[#This Row],[VALOR TOTAL DEL CONTRATO CON IVA (VALOR INICIAL + ADICIONES) ]]-Tabla15132[[#This Row],[VALOR PAGADO (EN PESOS)
(TOTAL VR. FACTURAS)]]</f>
        <v>0</v>
      </c>
    </row>
    <row r="125" spans="1:37" ht="29" x14ac:dyDescent="0.35">
      <c r="A125" s="55" t="s">
        <v>309</v>
      </c>
      <c r="B125" s="2" t="s">
        <v>310</v>
      </c>
      <c r="C125" s="2" t="s">
        <v>1976</v>
      </c>
      <c r="D125" s="31" t="s">
        <v>714</v>
      </c>
      <c r="E125" s="96" t="s">
        <v>2323</v>
      </c>
      <c r="F125" s="70">
        <v>45874</v>
      </c>
      <c r="G125" s="30" t="s">
        <v>150</v>
      </c>
      <c r="H125" s="142" t="s">
        <v>2324</v>
      </c>
      <c r="I125" s="38">
        <v>1180000</v>
      </c>
      <c r="J125" s="38">
        <v>94400</v>
      </c>
      <c r="K125" s="7">
        <v>1274400</v>
      </c>
      <c r="L125" s="147" t="s">
        <v>84</v>
      </c>
      <c r="M125" s="67">
        <v>901846085</v>
      </c>
      <c r="N125" s="37" t="s">
        <v>111</v>
      </c>
      <c r="O125" s="1" t="s">
        <v>2325</v>
      </c>
      <c r="P125" s="73" t="s">
        <v>318</v>
      </c>
      <c r="Q125" s="3"/>
      <c r="R125" s="32">
        <f>+Tabla15132[[#This Row],[VALOR INICIAL DEL CONTRATO CON IVA]]+Tabla15132[[#This Row],[VALOR DE LAS ADICIONES CON IVA]]</f>
        <v>1274400</v>
      </c>
      <c r="S125" s="4">
        <f>+Tabla15132[[#This Row],[FECHA TERMINACIÓN INICIAL CONTRATO]]-Tabla15132[[#This Row],[FECHA INICIO CONTRATO]]</f>
        <v>0</v>
      </c>
      <c r="T125" s="24" t="s">
        <v>318</v>
      </c>
      <c r="U125" s="58"/>
      <c r="V125" s="56" t="s">
        <v>318</v>
      </c>
      <c r="W125" s="70">
        <v>45875</v>
      </c>
      <c r="X125" s="70">
        <v>45875</v>
      </c>
      <c r="Y125" s="70">
        <v>45875</v>
      </c>
      <c r="Z125" s="65" t="str">
        <f>+Tabla15132[[#This Row],[ÁREA QUE CONTRATA ]]</f>
        <v>Sucursal Popayan</v>
      </c>
      <c r="AA125" s="72" t="s">
        <v>405</v>
      </c>
      <c r="AB125" s="60"/>
      <c r="AC125" s="60"/>
      <c r="AD125" s="56" t="s">
        <v>1501</v>
      </c>
      <c r="AE125" s="34">
        <v>0.98</v>
      </c>
      <c r="AF125" s="34">
        <v>0.98</v>
      </c>
      <c r="AG125" s="35">
        <v>1252050</v>
      </c>
      <c r="AH125" s="36" t="s">
        <v>2326</v>
      </c>
      <c r="AK125" s="81">
        <f>+Tabla15132[[#This Row],[VALOR TOTAL DEL CONTRATO CON IVA (VALOR INICIAL + ADICIONES) ]]-Tabla15132[[#This Row],[VALOR PAGADO (EN PESOS)
(TOTAL VR. FACTURAS)]]</f>
        <v>22350</v>
      </c>
    </row>
    <row r="126" spans="1:37" ht="29" x14ac:dyDescent="0.35">
      <c r="A126" s="55" t="s">
        <v>309</v>
      </c>
      <c r="B126" s="2" t="s">
        <v>310</v>
      </c>
      <c r="C126" s="2" t="s">
        <v>426</v>
      </c>
      <c r="D126" s="31" t="s">
        <v>714</v>
      </c>
      <c r="E126" s="96" t="s">
        <v>2327</v>
      </c>
      <c r="F126" s="70">
        <v>45875</v>
      </c>
      <c r="G126" s="30" t="s">
        <v>150</v>
      </c>
      <c r="H126" s="142" t="s">
        <v>2317</v>
      </c>
      <c r="I126" s="38">
        <v>1241261</v>
      </c>
      <c r="J126" s="38">
        <v>235839</v>
      </c>
      <c r="K126" s="7">
        <v>1477100</v>
      </c>
      <c r="L126" s="147" t="s">
        <v>84</v>
      </c>
      <c r="M126" s="67">
        <v>901292627</v>
      </c>
      <c r="N126" s="37" t="s">
        <v>120</v>
      </c>
      <c r="O126" s="1" t="s">
        <v>2037</v>
      </c>
      <c r="P126" s="73" t="s">
        <v>318</v>
      </c>
      <c r="Q126" s="3"/>
      <c r="R126" s="32">
        <f>+Tabla15132[[#This Row],[VALOR INICIAL DEL CONTRATO CON IVA]]+Tabla15132[[#This Row],[VALOR DE LAS ADICIONES CON IVA]]</f>
        <v>1477100</v>
      </c>
      <c r="S126" s="4">
        <f>+Tabla15132[[#This Row],[FECHA TERMINACIÓN INICIAL CONTRATO]]-Tabla15132[[#This Row],[FECHA INICIO CONTRATO]]</f>
        <v>0</v>
      </c>
      <c r="T126" s="24" t="s">
        <v>318</v>
      </c>
      <c r="U126" s="58"/>
      <c r="V126" s="56" t="s">
        <v>318</v>
      </c>
      <c r="W126" s="70">
        <v>45875</v>
      </c>
      <c r="X126" s="70">
        <v>45875</v>
      </c>
      <c r="Y126" s="70">
        <v>45875</v>
      </c>
      <c r="Z126" s="65" t="str">
        <f>+Tabla15132[[#This Row],[ÁREA QUE CONTRATA ]]</f>
        <v>Sucursal Cúcuta</v>
      </c>
      <c r="AA126" s="72" t="s">
        <v>405</v>
      </c>
      <c r="AB126" s="60"/>
      <c r="AC126" s="60"/>
      <c r="AD126" s="56" t="s">
        <v>1501</v>
      </c>
      <c r="AE126" s="34">
        <v>1</v>
      </c>
      <c r="AF126" s="34">
        <v>0</v>
      </c>
      <c r="AG126" s="35">
        <v>0</v>
      </c>
      <c r="AH126" s="36" t="s">
        <v>2328</v>
      </c>
      <c r="AK126" s="81">
        <f>+Tabla15132[[#This Row],[VALOR TOTAL DEL CONTRATO CON IVA (VALOR INICIAL + ADICIONES) ]]-Tabla15132[[#This Row],[VALOR PAGADO (EN PESOS)
(TOTAL VR. FACTURAS)]]</f>
        <v>1477100</v>
      </c>
    </row>
    <row r="127" spans="1:37" ht="39" x14ac:dyDescent="0.35">
      <c r="A127" s="55" t="s">
        <v>309</v>
      </c>
      <c r="B127" s="2" t="s">
        <v>310</v>
      </c>
      <c r="C127" s="2" t="s">
        <v>353</v>
      </c>
      <c r="D127" s="31" t="s">
        <v>714</v>
      </c>
      <c r="E127" s="96" t="s">
        <v>2329</v>
      </c>
      <c r="F127" s="70">
        <v>45873</v>
      </c>
      <c r="G127" s="30" t="s">
        <v>150</v>
      </c>
      <c r="H127" s="142" t="s">
        <v>2330</v>
      </c>
      <c r="I127" s="38">
        <v>5240000</v>
      </c>
      <c r="J127" s="38">
        <v>419200</v>
      </c>
      <c r="K127" s="7">
        <v>5659200</v>
      </c>
      <c r="L127" s="147" t="s">
        <v>84</v>
      </c>
      <c r="M127" s="67">
        <v>901663753</v>
      </c>
      <c r="N127" s="37" t="s">
        <v>85</v>
      </c>
      <c r="O127" s="1" t="s">
        <v>2331</v>
      </c>
      <c r="P127" s="73" t="s">
        <v>318</v>
      </c>
      <c r="Q127" s="3"/>
      <c r="R127" s="32">
        <f>+Tabla15132[[#This Row],[VALOR INICIAL DEL CONTRATO CON IVA]]+Tabla15132[[#This Row],[VALOR DE LAS ADICIONES CON IVA]]</f>
        <v>5659200</v>
      </c>
      <c r="S127" s="4">
        <f>+Tabla15132[[#This Row],[FECHA TERMINACIÓN INICIAL CONTRATO]]-Tabla15132[[#This Row],[FECHA INICIO CONTRATO]]</f>
        <v>0</v>
      </c>
      <c r="T127" s="24" t="s">
        <v>318</v>
      </c>
      <c r="U127" s="58"/>
      <c r="V127" s="56" t="s">
        <v>318</v>
      </c>
      <c r="W127" s="70">
        <v>45875</v>
      </c>
      <c r="X127" s="70">
        <v>45875</v>
      </c>
      <c r="Y127" s="70">
        <v>45875</v>
      </c>
      <c r="Z127" s="65" t="str">
        <f>+Tabla15132[[#This Row],[ÁREA QUE CONTRATA ]]</f>
        <v>Sucursal Medellin</v>
      </c>
      <c r="AA127" s="72" t="s">
        <v>405</v>
      </c>
      <c r="AB127" s="60"/>
      <c r="AC127" s="60"/>
      <c r="AD127" s="56" t="s">
        <v>1501</v>
      </c>
      <c r="AE127" s="34"/>
      <c r="AF127" s="34"/>
      <c r="AG127" s="35"/>
      <c r="AH127" s="36" t="s">
        <v>2332</v>
      </c>
      <c r="AK127" s="81">
        <f>+Tabla15132[[#This Row],[VALOR TOTAL DEL CONTRATO CON IVA (VALOR INICIAL + ADICIONES) ]]-Tabla15132[[#This Row],[VALOR PAGADO (EN PESOS)
(TOTAL VR. FACTURAS)]]</f>
        <v>5659200</v>
      </c>
    </row>
    <row r="128" spans="1:37" ht="29" x14ac:dyDescent="0.35">
      <c r="A128" s="55" t="s">
        <v>309</v>
      </c>
      <c r="B128" s="2" t="s">
        <v>310</v>
      </c>
      <c r="C128" s="2" t="s">
        <v>1031</v>
      </c>
      <c r="D128" s="31" t="s">
        <v>714</v>
      </c>
      <c r="E128" s="96" t="s">
        <v>2333</v>
      </c>
      <c r="F128" s="70">
        <v>45874</v>
      </c>
      <c r="G128" s="30" t="s">
        <v>150</v>
      </c>
      <c r="H128" s="142" t="s">
        <v>2334</v>
      </c>
      <c r="I128" s="38">
        <v>1572593</v>
      </c>
      <c r="J128" s="38">
        <v>125807</v>
      </c>
      <c r="K128" s="7">
        <v>1698400</v>
      </c>
      <c r="L128" s="147" t="s">
        <v>84</v>
      </c>
      <c r="M128" s="67">
        <v>801004673</v>
      </c>
      <c r="N128" s="37" t="s">
        <v>85</v>
      </c>
      <c r="O128" s="1" t="s">
        <v>2335</v>
      </c>
      <c r="P128" s="73" t="s">
        <v>318</v>
      </c>
      <c r="Q128" s="3"/>
      <c r="R128" s="32">
        <f>+Tabla15132[[#This Row],[VALOR INICIAL DEL CONTRATO CON IVA]]+Tabla15132[[#This Row],[VALOR DE LAS ADICIONES CON IVA]]</f>
        <v>1698400</v>
      </c>
      <c r="S128" s="4">
        <f>+Tabla15132[[#This Row],[FECHA TERMINACIÓN INICIAL CONTRATO]]-Tabla15132[[#This Row],[FECHA INICIO CONTRATO]]</f>
        <v>0</v>
      </c>
      <c r="T128" s="24" t="s">
        <v>318</v>
      </c>
      <c r="U128" s="58"/>
      <c r="V128" s="56" t="s">
        <v>318</v>
      </c>
      <c r="W128" s="70">
        <v>45875</v>
      </c>
      <c r="X128" s="70">
        <v>45875</v>
      </c>
      <c r="Y128" s="70">
        <v>45875</v>
      </c>
      <c r="Z128" s="65" t="str">
        <f>+Tabla15132[[#This Row],[ÁREA QUE CONTRATA ]]</f>
        <v>Sucursal Armenia</v>
      </c>
      <c r="AA128" s="72" t="s">
        <v>405</v>
      </c>
      <c r="AB128" s="60"/>
      <c r="AC128" s="60"/>
      <c r="AD128" s="56" t="s">
        <v>1501</v>
      </c>
      <c r="AE128" s="34"/>
      <c r="AF128" s="34"/>
      <c r="AG128" s="35"/>
      <c r="AH128" s="36" t="s">
        <v>2336</v>
      </c>
      <c r="AK128" s="81">
        <f>+Tabla15132[[#This Row],[VALOR TOTAL DEL CONTRATO CON IVA (VALOR INICIAL + ADICIONES) ]]-Tabla15132[[#This Row],[VALOR PAGADO (EN PESOS)
(TOTAL VR. FACTURAS)]]</f>
        <v>1698400</v>
      </c>
    </row>
    <row r="129" spans="1:37" ht="29" x14ac:dyDescent="0.35">
      <c r="A129" s="55" t="s">
        <v>309</v>
      </c>
      <c r="B129" s="2" t="s">
        <v>310</v>
      </c>
      <c r="C129" s="2" t="s">
        <v>344</v>
      </c>
      <c r="D129" s="31" t="s">
        <v>714</v>
      </c>
      <c r="E129" s="96" t="s">
        <v>2337</v>
      </c>
      <c r="F129" s="70">
        <v>45874</v>
      </c>
      <c r="G129" s="30" t="s">
        <v>150</v>
      </c>
      <c r="H129" s="142" t="s">
        <v>2338</v>
      </c>
      <c r="I129" s="38">
        <v>1161470</v>
      </c>
      <c r="J129" s="38">
        <v>122498</v>
      </c>
      <c r="K129" s="7">
        <v>1283967</v>
      </c>
      <c r="L129" s="147" t="s">
        <v>84</v>
      </c>
      <c r="M129" s="67">
        <v>900569385</v>
      </c>
      <c r="N129" s="37" t="s">
        <v>120</v>
      </c>
      <c r="O129" s="1" t="s">
        <v>2339</v>
      </c>
      <c r="P129" s="73" t="s">
        <v>318</v>
      </c>
      <c r="Q129" s="3"/>
      <c r="R129" s="32">
        <f>+Tabla15132[[#This Row],[VALOR INICIAL DEL CONTRATO CON IVA]]+Tabla15132[[#This Row],[VALOR DE LAS ADICIONES CON IVA]]</f>
        <v>1283967</v>
      </c>
      <c r="S129" s="4">
        <f>+Tabla15132[[#This Row],[FECHA TERMINACIÓN INICIAL CONTRATO]]-Tabla15132[[#This Row],[FECHA INICIO CONTRATO]]</f>
        <v>9</v>
      </c>
      <c r="T129" s="24" t="s">
        <v>318</v>
      </c>
      <c r="U129" s="58"/>
      <c r="V129" s="56" t="s">
        <v>318</v>
      </c>
      <c r="W129" s="70">
        <v>45874</v>
      </c>
      <c r="X129" s="70">
        <v>45883</v>
      </c>
      <c r="Y129" s="70">
        <v>45883</v>
      </c>
      <c r="Z129" s="65" t="str">
        <f>+Tabla15132[[#This Row],[ÁREA QUE CONTRATA ]]</f>
        <v>Sucursal Villavicencio</v>
      </c>
      <c r="AA129" s="72" t="s">
        <v>405</v>
      </c>
      <c r="AB129" s="60"/>
      <c r="AC129" s="60"/>
      <c r="AD129" s="56" t="s">
        <v>1501</v>
      </c>
      <c r="AE129" s="34">
        <v>1</v>
      </c>
      <c r="AF129" s="34">
        <v>1</v>
      </c>
      <c r="AG129" s="35">
        <v>1283697</v>
      </c>
      <c r="AH129" s="36" t="s">
        <v>2340</v>
      </c>
      <c r="AK129" s="81">
        <f>+Tabla15132[[#This Row],[VALOR TOTAL DEL CONTRATO CON IVA (VALOR INICIAL + ADICIONES) ]]-Tabla15132[[#This Row],[VALOR PAGADO (EN PESOS)
(TOTAL VR. FACTURAS)]]</f>
        <v>270</v>
      </c>
    </row>
    <row r="130" spans="1:37" ht="29" x14ac:dyDescent="0.35">
      <c r="A130" s="55" t="s">
        <v>309</v>
      </c>
      <c r="B130" s="2" t="s">
        <v>310</v>
      </c>
      <c r="C130" s="2" t="s">
        <v>1029</v>
      </c>
      <c r="D130" s="31" t="s">
        <v>714</v>
      </c>
      <c r="E130" s="96" t="s">
        <v>2341</v>
      </c>
      <c r="F130" s="70">
        <v>45875</v>
      </c>
      <c r="G130" s="30" t="s">
        <v>150</v>
      </c>
      <c r="H130" s="142" t="s">
        <v>2338</v>
      </c>
      <c r="I130" s="38">
        <v>1713000</v>
      </c>
      <c r="J130" s="38"/>
      <c r="K130" s="7">
        <v>1713000</v>
      </c>
      <c r="L130" s="147" t="s">
        <v>84</v>
      </c>
      <c r="M130" s="67">
        <v>891800213</v>
      </c>
      <c r="N130" s="37" t="s">
        <v>120</v>
      </c>
      <c r="O130" s="1" t="s">
        <v>2300</v>
      </c>
      <c r="P130" s="73" t="s">
        <v>318</v>
      </c>
      <c r="Q130" s="3"/>
      <c r="R130" s="32">
        <f>+Tabla15132[[#This Row],[VALOR INICIAL DEL CONTRATO CON IVA]]+Tabla15132[[#This Row],[VALOR DE LAS ADICIONES CON IVA]]</f>
        <v>1713000</v>
      </c>
      <c r="S130" s="4">
        <f>+Tabla15132[[#This Row],[FECHA TERMINACIÓN INICIAL CONTRATO]]-Tabla15132[[#This Row],[FECHA INICIO CONTRATO]]</f>
        <v>0</v>
      </c>
      <c r="T130" s="24" t="s">
        <v>318</v>
      </c>
      <c r="U130" s="58"/>
      <c r="V130" s="56" t="s">
        <v>318</v>
      </c>
      <c r="W130" s="70">
        <v>45875</v>
      </c>
      <c r="X130" s="70">
        <v>45875</v>
      </c>
      <c r="Y130" s="70">
        <v>45875</v>
      </c>
      <c r="Z130" s="65" t="str">
        <f>+Tabla15132[[#This Row],[ÁREA QUE CONTRATA ]]</f>
        <v>Sucursal Tunja</v>
      </c>
      <c r="AA130" s="72" t="s">
        <v>405</v>
      </c>
      <c r="AB130" s="60"/>
      <c r="AC130" s="60"/>
      <c r="AD130" s="56" t="s">
        <v>1501</v>
      </c>
      <c r="AE130" s="34"/>
      <c r="AF130" s="34"/>
      <c r="AG130" s="35"/>
      <c r="AH130" s="36" t="s">
        <v>2342</v>
      </c>
      <c r="AK130" s="81">
        <f>+Tabla15132[[#This Row],[VALOR TOTAL DEL CONTRATO CON IVA (VALOR INICIAL + ADICIONES) ]]-Tabla15132[[#This Row],[VALOR PAGADO (EN PESOS)
(TOTAL VR. FACTURAS)]]</f>
        <v>1713000</v>
      </c>
    </row>
    <row r="131" spans="1:37" ht="29" x14ac:dyDescent="0.35">
      <c r="A131" s="55" t="s">
        <v>309</v>
      </c>
      <c r="B131" s="2" t="s">
        <v>310</v>
      </c>
      <c r="C131" s="2" t="s">
        <v>349</v>
      </c>
      <c r="D131" s="31" t="s">
        <v>714</v>
      </c>
      <c r="E131" s="96" t="s">
        <v>2343</v>
      </c>
      <c r="F131" s="70">
        <v>45875</v>
      </c>
      <c r="G131" s="30" t="s">
        <v>150</v>
      </c>
      <c r="H131" s="142" t="s">
        <v>2344</v>
      </c>
      <c r="I131" s="38">
        <v>1760000</v>
      </c>
      <c r="J131" s="38">
        <v>126720</v>
      </c>
      <c r="K131" s="7">
        <v>1886720</v>
      </c>
      <c r="L131" s="147" t="s">
        <v>84</v>
      </c>
      <c r="M131" s="67">
        <v>901920489</v>
      </c>
      <c r="N131" s="37" t="s">
        <v>103</v>
      </c>
      <c r="O131" s="1" t="s">
        <v>2345</v>
      </c>
      <c r="P131" s="73" t="s">
        <v>318</v>
      </c>
      <c r="Q131" s="3"/>
      <c r="R131" s="32">
        <f>+Tabla15132[[#This Row],[VALOR INICIAL DEL CONTRATO CON IVA]]+Tabla15132[[#This Row],[VALOR DE LAS ADICIONES CON IVA]]</f>
        <v>1886720</v>
      </c>
      <c r="S131" s="4">
        <f>+Tabla15132[[#This Row],[FECHA TERMINACIÓN INICIAL CONTRATO]]-Tabla15132[[#This Row],[FECHA INICIO CONTRATO]]</f>
        <v>8</v>
      </c>
      <c r="T131" s="24" t="s">
        <v>318</v>
      </c>
      <c r="U131" s="58"/>
      <c r="V131" s="56" t="s">
        <v>318</v>
      </c>
      <c r="W131" s="70">
        <v>45875</v>
      </c>
      <c r="X131" s="70">
        <v>45883</v>
      </c>
      <c r="Y131" s="70">
        <v>45883</v>
      </c>
      <c r="Z131" s="65" t="str">
        <f>+Tabla15132[[#This Row],[ÁREA QUE CONTRATA ]]</f>
        <v>Sucursal Cartagena</v>
      </c>
      <c r="AA131" s="72" t="s">
        <v>405</v>
      </c>
      <c r="AB131" s="60"/>
      <c r="AC131" s="60"/>
      <c r="AD131" s="56" t="s">
        <v>1501</v>
      </c>
      <c r="AE131" s="34">
        <v>1</v>
      </c>
      <c r="AF131" s="34">
        <v>1</v>
      </c>
      <c r="AG131" s="35">
        <v>1886720</v>
      </c>
      <c r="AH131" s="36" t="s">
        <v>2346</v>
      </c>
      <c r="AK131" s="81">
        <f>+Tabla15132[[#This Row],[VALOR TOTAL DEL CONTRATO CON IVA (VALOR INICIAL + ADICIONES) ]]-Tabla15132[[#This Row],[VALOR PAGADO (EN PESOS)
(TOTAL VR. FACTURAS)]]</f>
        <v>0</v>
      </c>
    </row>
    <row r="132" spans="1:37" ht="39" x14ac:dyDescent="0.35">
      <c r="A132" s="55" t="s">
        <v>309</v>
      </c>
      <c r="B132" s="2" t="s">
        <v>310</v>
      </c>
      <c r="C132" s="2" t="s">
        <v>677</v>
      </c>
      <c r="D132" s="31" t="s">
        <v>714</v>
      </c>
      <c r="E132" s="96" t="s">
        <v>2347</v>
      </c>
      <c r="F132" s="70">
        <v>45875</v>
      </c>
      <c r="G132" s="30" t="s">
        <v>150</v>
      </c>
      <c r="H132" s="142" t="s">
        <v>2348</v>
      </c>
      <c r="I132" s="38">
        <v>700000</v>
      </c>
      <c r="J132" s="38">
        <v>0</v>
      </c>
      <c r="K132" s="7">
        <v>700000</v>
      </c>
      <c r="L132" s="147" t="s">
        <v>96</v>
      </c>
      <c r="M132" s="67">
        <v>26641316</v>
      </c>
      <c r="N132" s="37"/>
      <c r="O132" s="1" t="s">
        <v>1066</v>
      </c>
      <c r="P132" s="73" t="s">
        <v>318</v>
      </c>
      <c r="Q132" s="3"/>
      <c r="R132" s="32">
        <f>+Tabla15132[[#This Row],[VALOR INICIAL DEL CONTRATO CON IVA]]+Tabla15132[[#This Row],[VALOR DE LAS ADICIONES CON IVA]]</f>
        <v>700000</v>
      </c>
      <c r="S132" s="4">
        <f>+Tabla15132[[#This Row],[FECHA TERMINACIÓN INICIAL CONTRATO]]-Tabla15132[[#This Row],[FECHA INICIO CONTRATO]]</f>
        <v>0</v>
      </c>
      <c r="T132" s="24" t="s">
        <v>318</v>
      </c>
      <c r="U132" s="58"/>
      <c r="V132" s="56" t="s">
        <v>318</v>
      </c>
      <c r="W132" s="70">
        <v>45875</v>
      </c>
      <c r="X132" s="70">
        <v>45875</v>
      </c>
      <c r="Y132" s="70">
        <v>45875</v>
      </c>
      <c r="Z132" s="65" t="str">
        <f>+Tabla15132[[#This Row],[ÁREA QUE CONTRATA ]]</f>
        <v>Sucursal Florencia</v>
      </c>
      <c r="AA132" s="72" t="s">
        <v>405</v>
      </c>
      <c r="AB132" s="60"/>
      <c r="AC132" s="60"/>
      <c r="AD132" s="56" t="s">
        <v>1501</v>
      </c>
      <c r="AE132" s="34">
        <v>1</v>
      </c>
      <c r="AF132" s="34">
        <v>1</v>
      </c>
      <c r="AG132" s="35">
        <v>700000</v>
      </c>
      <c r="AH132" s="36" t="s">
        <v>2349</v>
      </c>
      <c r="AK132" s="81">
        <f>+Tabla15132[[#This Row],[VALOR TOTAL DEL CONTRATO CON IVA (VALOR INICIAL + ADICIONES) ]]-Tabla15132[[#This Row],[VALOR PAGADO (EN PESOS)
(TOTAL VR. FACTURAS)]]</f>
        <v>0</v>
      </c>
    </row>
    <row r="133" spans="1:37" ht="39" x14ac:dyDescent="0.35">
      <c r="A133" s="55" t="s">
        <v>309</v>
      </c>
      <c r="B133" s="2" t="s">
        <v>310</v>
      </c>
      <c r="C133" s="2" t="s">
        <v>399</v>
      </c>
      <c r="D133" s="31" t="s">
        <v>714</v>
      </c>
      <c r="E133" s="96" t="s">
        <v>2350</v>
      </c>
      <c r="F133" s="70">
        <v>45888</v>
      </c>
      <c r="G133" s="30" t="s">
        <v>150</v>
      </c>
      <c r="H133" s="142" t="s">
        <v>2351</v>
      </c>
      <c r="I133" s="38">
        <v>2690000</v>
      </c>
      <c r="J133" s="38">
        <v>0</v>
      </c>
      <c r="K133" s="7">
        <v>2690000</v>
      </c>
      <c r="L133" s="147" t="s">
        <v>96</v>
      </c>
      <c r="M133" s="67">
        <v>1016041679</v>
      </c>
      <c r="N133" s="37"/>
      <c r="O133" s="1" t="s">
        <v>676</v>
      </c>
      <c r="P133" s="73" t="s">
        <v>318</v>
      </c>
      <c r="Q133" s="3"/>
      <c r="R133" s="32">
        <f>+Tabla15132[[#This Row],[VALOR INICIAL DEL CONTRATO CON IVA]]+Tabla15132[[#This Row],[VALOR DE LAS ADICIONES CON IVA]]</f>
        <v>2690000</v>
      </c>
      <c r="S133" s="4">
        <f>+Tabla15132[[#This Row],[FECHA TERMINACIÓN INICIAL CONTRATO]]-Tabla15132[[#This Row],[FECHA INICIO CONTRATO]]</f>
        <v>31</v>
      </c>
      <c r="T133" s="24" t="s">
        <v>318</v>
      </c>
      <c r="U133" s="58"/>
      <c r="V133" s="56" t="s">
        <v>318</v>
      </c>
      <c r="W133" s="70">
        <v>45889</v>
      </c>
      <c r="X133" s="70">
        <v>45920</v>
      </c>
      <c r="Y133" s="70">
        <v>45920</v>
      </c>
      <c r="Z133" s="65" t="str">
        <f>+Tabla15132[[#This Row],[ÁREA QUE CONTRATA ]]</f>
        <v>Sucursal Buenaventura</v>
      </c>
      <c r="AA133" s="72" t="s">
        <v>405</v>
      </c>
      <c r="AB133" s="60"/>
      <c r="AC133" s="60"/>
      <c r="AD133" s="56" t="s">
        <v>1614</v>
      </c>
      <c r="AE133" s="34"/>
      <c r="AF133" s="34"/>
      <c r="AG133" s="35"/>
      <c r="AH133" s="36" t="s">
        <v>2352</v>
      </c>
      <c r="AK133" s="81">
        <f>+Tabla15132[[#This Row],[VALOR TOTAL DEL CONTRATO CON IVA (VALOR INICIAL + ADICIONES) ]]-Tabla15132[[#This Row],[VALOR PAGADO (EN PESOS)
(TOTAL VR. FACTURAS)]]</f>
        <v>2690000</v>
      </c>
    </row>
    <row r="134" spans="1:37" ht="39" x14ac:dyDescent="0.35">
      <c r="A134" s="55" t="s">
        <v>309</v>
      </c>
      <c r="B134" s="2" t="s">
        <v>310</v>
      </c>
      <c r="C134" s="2" t="s">
        <v>353</v>
      </c>
      <c r="D134" s="31" t="s">
        <v>313</v>
      </c>
      <c r="E134" s="96" t="s">
        <v>2353</v>
      </c>
      <c r="F134" s="70">
        <v>45890</v>
      </c>
      <c r="G134" s="30" t="s">
        <v>150</v>
      </c>
      <c r="H134" s="142" t="s">
        <v>2354</v>
      </c>
      <c r="I134" s="38">
        <v>9440000</v>
      </c>
      <c r="J134" s="38">
        <v>0</v>
      </c>
      <c r="K134" s="7">
        <v>9440000</v>
      </c>
      <c r="L134" s="147" t="s">
        <v>84</v>
      </c>
      <c r="M134" s="67">
        <v>890900841</v>
      </c>
      <c r="N134" s="37" t="s">
        <v>123</v>
      </c>
      <c r="O134" s="1" t="s">
        <v>2355</v>
      </c>
      <c r="P134" s="73" t="s">
        <v>318</v>
      </c>
      <c r="Q134" s="3"/>
      <c r="R134" s="32">
        <f>+Tabla15132[[#This Row],[VALOR INICIAL DEL CONTRATO CON IVA]]+Tabla15132[[#This Row],[VALOR DE LAS ADICIONES CON IVA]]</f>
        <v>9440000</v>
      </c>
      <c r="S134" s="4">
        <f>+Tabla15132[[#This Row],[FECHA TERMINACIÓN INICIAL CONTRATO]]-Tabla15132[[#This Row],[FECHA INICIO CONTRATO]]</f>
        <v>132</v>
      </c>
      <c r="T134" s="24" t="s">
        <v>318</v>
      </c>
      <c r="U134" s="58"/>
      <c r="V134" s="56" t="s">
        <v>318</v>
      </c>
      <c r="W134" s="70">
        <v>45890</v>
      </c>
      <c r="X134" s="70">
        <v>46022</v>
      </c>
      <c r="Y134" s="70">
        <v>46022</v>
      </c>
      <c r="Z134" s="65" t="str">
        <f>+Tabla15132[[#This Row],[ÁREA QUE CONTRATA ]]</f>
        <v>Sucursal Medellin</v>
      </c>
      <c r="AA134" s="72" t="s">
        <v>319</v>
      </c>
      <c r="AB134" s="60"/>
      <c r="AC134" s="60"/>
      <c r="AD134" s="56" t="s">
        <v>1501</v>
      </c>
      <c r="AE134" s="34"/>
      <c r="AF134" s="34"/>
      <c r="AG134" s="35"/>
      <c r="AH134" s="36" t="s">
        <v>2356</v>
      </c>
      <c r="AK134" s="81">
        <f>+Tabla15132[[#This Row],[VALOR TOTAL DEL CONTRATO CON IVA (VALOR INICIAL + ADICIONES) ]]-Tabla15132[[#This Row],[VALOR PAGADO (EN PESOS)
(TOTAL VR. FACTURAS)]]</f>
        <v>9440000</v>
      </c>
    </row>
    <row r="135" spans="1:37" ht="39" x14ac:dyDescent="0.35">
      <c r="A135" s="55"/>
      <c r="C135" s="2" t="s">
        <v>393</v>
      </c>
      <c r="D135" s="31" t="s">
        <v>313</v>
      </c>
      <c r="E135" s="96" t="s">
        <v>2357</v>
      </c>
      <c r="F135" s="70">
        <v>45890</v>
      </c>
      <c r="G135" s="30" t="s">
        <v>150</v>
      </c>
      <c r="H135" s="142" t="s">
        <v>2358</v>
      </c>
      <c r="I135" s="38">
        <v>7828707</v>
      </c>
      <c r="J135" s="38">
        <v>452572</v>
      </c>
      <c r="K135" s="7">
        <v>8281279</v>
      </c>
      <c r="L135" s="147" t="s">
        <v>84</v>
      </c>
      <c r="M135" s="67">
        <v>890303208</v>
      </c>
      <c r="N135" s="37" t="s">
        <v>111</v>
      </c>
      <c r="O135" s="1" t="s">
        <v>2359</v>
      </c>
      <c r="P135" s="73" t="s">
        <v>318</v>
      </c>
      <c r="Q135" s="3"/>
      <c r="R135" s="32">
        <f>+Tabla15132[[#This Row],[VALOR INICIAL DEL CONTRATO CON IVA]]+Tabla15132[[#This Row],[VALOR DE LAS ADICIONES CON IVA]]</f>
        <v>8281279</v>
      </c>
      <c r="S135" s="4">
        <f>+Tabla15132[[#This Row],[FECHA TERMINACIÓN INICIAL CONTRATO]]-Tabla15132[[#This Row],[FECHA INICIO CONTRATO]]</f>
        <v>0</v>
      </c>
      <c r="T135" s="24" t="s">
        <v>318</v>
      </c>
      <c r="U135" s="58"/>
      <c r="V135" s="56"/>
      <c r="W135" s="70">
        <v>45892</v>
      </c>
      <c r="X135" s="70">
        <v>45892</v>
      </c>
      <c r="Y135" s="70">
        <v>45892</v>
      </c>
      <c r="Z135" s="65" t="str">
        <f>+Tabla15132[[#This Row],[ÁREA QUE CONTRATA ]]</f>
        <v>Sucursal Cali</v>
      </c>
      <c r="AA135" s="72" t="s">
        <v>405</v>
      </c>
      <c r="AB135" s="60"/>
      <c r="AC135" s="60"/>
      <c r="AD135" s="56" t="s">
        <v>1501</v>
      </c>
      <c r="AE135" s="34"/>
      <c r="AF135" s="34"/>
      <c r="AG135" s="35"/>
      <c r="AH135" s="36"/>
      <c r="AK135" s="81">
        <f>+Tabla15132[[#This Row],[VALOR TOTAL DEL CONTRATO CON IVA (VALOR INICIAL + ADICIONES) ]]-Tabla15132[[#This Row],[VALOR PAGADO (EN PESOS)
(TOTAL VR. FACTURAS)]]</f>
        <v>8281279</v>
      </c>
    </row>
    <row r="136" spans="1:37" ht="32.5" customHeight="1" x14ac:dyDescent="0.35">
      <c r="A136" s="55" t="s">
        <v>309</v>
      </c>
      <c r="B136" s="2" t="s">
        <v>310</v>
      </c>
      <c r="C136" s="2" t="s">
        <v>1976</v>
      </c>
      <c r="D136" s="31" t="s">
        <v>714</v>
      </c>
      <c r="E136" s="96" t="s">
        <v>2360</v>
      </c>
      <c r="F136" s="70">
        <v>45895</v>
      </c>
      <c r="G136" s="30" t="s">
        <v>150</v>
      </c>
      <c r="H136" s="142" t="s">
        <v>2193</v>
      </c>
      <c r="I136" s="38">
        <v>5180000</v>
      </c>
      <c r="J136" s="38">
        <v>0</v>
      </c>
      <c r="K136" s="7">
        <v>5180000</v>
      </c>
      <c r="L136" s="147" t="s">
        <v>96</v>
      </c>
      <c r="M136" s="67">
        <v>76304191</v>
      </c>
      <c r="N136" s="37"/>
      <c r="O136" s="1" t="s">
        <v>1068</v>
      </c>
      <c r="P136" s="73" t="s">
        <v>318</v>
      </c>
      <c r="Q136" s="3"/>
      <c r="R136" s="32">
        <f>+Tabla15132[[#This Row],[VALOR INICIAL DEL CONTRATO CON IVA]]+Tabla15132[[#This Row],[VALOR DE LAS ADICIONES CON IVA]]</f>
        <v>5180000</v>
      </c>
      <c r="S136" s="4">
        <f>+Tabla15132[[#This Row],[FECHA TERMINACIÓN INICIAL CONTRATO]]-Tabla15132[[#This Row],[FECHA INICIO CONTRATO]]</f>
        <v>61</v>
      </c>
      <c r="T136" s="24" t="s">
        <v>318</v>
      </c>
      <c r="U136" s="58"/>
      <c r="V136" s="56" t="s">
        <v>318</v>
      </c>
      <c r="W136" s="70">
        <v>45895</v>
      </c>
      <c r="X136" s="70">
        <v>45956</v>
      </c>
      <c r="Y136" s="70">
        <v>45956</v>
      </c>
      <c r="Z136" s="65" t="str">
        <f>+Tabla15132[[#This Row],[ÁREA QUE CONTRATA ]]</f>
        <v>Sucursal Popayan</v>
      </c>
      <c r="AA136" s="72" t="s">
        <v>319</v>
      </c>
      <c r="AB136" s="60"/>
      <c r="AC136" s="60"/>
      <c r="AD136" s="56" t="s">
        <v>1614</v>
      </c>
      <c r="AE136" s="34">
        <v>0.15</v>
      </c>
      <c r="AF136" s="34"/>
      <c r="AG136" s="35"/>
      <c r="AH136" s="36" t="s">
        <v>2006</v>
      </c>
      <c r="AK136" s="81">
        <f>+Tabla15132[[#This Row],[VALOR TOTAL DEL CONTRATO CON IVA (VALOR INICIAL + ADICIONES) ]]-Tabla15132[[#This Row],[VALOR PAGADO (EN PESOS)
(TOTAL VR. FACTURAS)]]</f>
        <v>5180000</v>
      </c>
    </row>
    <row r="137" spans="1:37" ht="53" customHeight="1" x14ac:dyDescent="0.35">
      <c r="A137" s="55" t="s">
        <v>309</v>
      </c>
      <c r="B137" s="2" t="s">
        <v>310</v>
      </c>
      <c r="C137" s="2" t="s">
        <v>389</v>
      </c>
      <c r="D137" s="31" t="s">
        <v>714</v>
      </c>
      <c r="E137" s="96" t="s">
        <v>2361</v>
      </c>
      <c r="F137" s="70">
        <v>45898</v>
      </c>
      <c r="G137" s="30" t="s">
        <v>113</v>
      </c>
      <c r="H137" s="142" t="s">
        <v>2362</v>
      </c>
      <c r="I137" s="38">
        <v>1540000</v>
      </c>
      <c r="J137" s="38">
        <v>0</v>
      </c>
      <c r="K137" s="7">
        <v>1540000</v>
      </c>
      <c r="L137" s="147" t="s">
        <v>96</v>
      </c>
      <c r="M137" s="67">
        <v>1053823952</v>
      </c>
      <c r="N137" s="37"/>
      <c r="O137" s="1" t="s">
        <v>2363</v>
      </c>
      <c r="P137" s="73" t="s">
        <v>318</v>
      </c>
      <c r="Q137" s="3"/>
      <c r="R137" s="32">
        <f>+Tabla15132[[#This Row],[VALOR INICIAL DEL CONTRATO CON IVA]]+Tabla15132[[#This Row],[VALOR DE LAS ADICIONES CON IVA]]</f>
        <v>1540000</v>
      </c>
      <c r="S137" s="4">
        <f>+Tabla15132[[#This Row],[FECHA TERMINACIÓN INICIAL CONTRATO]]-Tabla15132[[#This Row],[FECHA INICIO CONTRATO]]</f>
        <v>30</v>
      </c>
      <c r="T137" s="24" t="s">
        <v>318</v>
      </c>
      <c r="U137" s="58"/>
      <c r="V137" s="56" t="s">
        <v>318</v>
      </c>
      <c r="W137" s="70">
        <v>45898</v>
      </c>
      <c r="X137" s="70">
        <v>45928</v>
      </c>
      <c r="Y137" s="70">
        <v>45928</v>
      </c>
      <c r="Z137" s="65" t="str">
        <f>+Tabla15132[[#This Row],[ÁREA QUE CONTRATA ]]</f>
        <v>Sucursal Manizales</v>
      </c>
      <c r="AA137" s="72" t="s">
        <v>405</v>
      </c>
      <c r="AB137" s="60"/>
      <c r="AC137" s="60"/>
      <c r="AD137" s="56" t="s">
        <v>2364</v>
      </c>
      <c r="AE137" s="34"/>
      <c r="AF137" s="34"/>
      <c r="AG137" s="35"/>
      <c r="AH137" s="36" t="s">
        <v>2365</v>
      </c>
      <c r="AK137" s="81">
        <f>+Tabla15132[[#This Row],[VALOR TOTAL DEL CONTRATO CON IVA (VALOR INICIAL + ADICIONES) ]]-Tabla15132[[#This Row],[VALOR PAGADO (EN PESOS)
(TOTAL VR. FACTURAS)]]</f>
        <v>1540000</v>
      </c>
    </row>
    <row r="138" spans="1:37" ht="39" x14ac:dyDescent="0.35">
      <c r="A138" s="55"/>
      <c r="C138" s="2" t="s">
        <v>358</v>
      </c>
      <c r="D138" s="31" t="s">
        <v>714</v>
      </c>
      <c r="E138" s="96" t="s">
        <v>2366</v>
      </c>
      <c r="F138" s="70">
        <v>45897</v>
      </c>
      <c r="G138" s="30" t="s">
        <v>150</v>
      </c>
      <c r="H138" s="142" t="s">
        <v>2367</v>
      </c>
      <c r="I138" s="38">
        <v>2345000</v>
      </c>
      <c r="J138" s="38">
        <v>445550</v>
      </c>
      <c r="K138" s="7">
        <v>2790550</v>
      </c>
      <c r="L138" s="77" t="s">
        <v>84</v>
      </c>
      <c r="M138" s="67">
        <v>900823602</v>
      </c>
      <c r="N138" s="37" t="s">
        <v>85</v>
      </c>
      <c r="O138" s="1" t="s">
        <v>2368</v>
      </c>
      <c r="P138" s="73" t="s">
        <v>318</v>
      </c>
      <c r="Q138" s="3"/>
      <c r="R138" s="32">
        <f>+Tabla15132[[#This Row],[VALOR INICIAL DEL CONTRATO CON IVA]]+Tabla15132[[#This Row],[VALOR DE LAS ADICIONES CON IVA]]</f>
        <v>2790550</v>
      </c>
      <c r="S138" s="4">
        <f>+Tabla15132[[#This Row],[FECHA TERMINACIÓN INICIAL CONTRATO]]-Tabla15132[[#This Row],[FECHA INICIO CONTRATO]]</f>
        <v>0</v>
      </c>
      <c r="T138" s="24" t="s">
        <v>318</v>
      </c>
      <c r="U138" s="58"/>
      <c r="V138" s="56" t="s">
        <v>318</v>
      </c>
      <c r="W138" s="70">
        <v>45899</v>
      </c>
      <c r="X138" s="70">
        <v>45899</v>
      </c>
      <c r="Y138" s="70">
        <v>45899</v>
      </c>
      <c r="Z138" s="65" t="str">
        <f>+Tabla15132[[#This Row],[ÁREA QUE CONTRATA ]]</f>
        <v>Sucursal Neiva</v>
      </c>
      <c r="AA138" s="72" t="s">
        <v>405</v>
      </c>
      <c r="AB138" s="60"/>
      <c r="AC138" s="60"/>
      <c r="AD138" s="56" t="s">
        <v>1501</v>
      </c>
      <c r="AE138" s="34"/>
      <c r="AF138" s="34"/>
      <c r="AG138" s="35"/>
      <c r="AH138" s="36"/>
      <c r="AK138" s="81">
        <f>+Tabla15132[[#This Row],[VALOR TOTAL DEL CONTRATO CON IVA (VALOR INICIAL + ADICIONES) ]]-Tabla15132[[#This Row],[VALOR PAGADO (EN PESOS)
(TOTAL VR. FACTURAS)]]</f>
        <v>2790550</v>
      </c>
    </row>
    <row r="139" spans="1:37" ht="39" x14ac:dyDescent="0.35">
      <c r="A139" s="55" t="s">
        <v>309</v>
      </c>
      <c r="B139" s="2" t="s">
        <v>310</v>
      </c>
      <c r="C139" s="2" t="s">
        <v>399</v>
      </c>
      <c r="D139" s="31" t="s">
        <v>714</v>
      </c>
      <c r="E139" s="96" t="s">
        <v>2369</v>
      </c>
      <c r="F139" s="70">
        <v>45898</v>
      </c>
      <c r="G139" s="30" t="s">
        <v>150</v>
      </c>
      <c r="H139" s="142" t="s">
        <v>2370</v>
      </c>
      <c r="I139" s="38">
        <v>1020000</v>
      </c>
      <c r="J139" s="38">
        <v>0</v>
      </c>
      <c r="K139" s="7">
        <v>1020000</v>
      </c>
      <c r="L139" s="147" t="s">
        <v>96</v>
      </c>
      <c r="M139" s="67">
        <v>14475977</v>
      </c>
      <c r="N139" s="37"/>
      <c r="O139" s="1" t="s">
        <v>2371</v>
      </c>
      <c r="P139" s="73" t="s">
        <v>318</v>
      </c>
      <c r="Q139" s="3"/>
      <c r="R139" s="32">
        <f>+Tabla15132[[#This Row],[VALOR INICIAL DEL CONTRATO CON IVA]]+Tabla15132[[#This Row],[VALOR DE LAS ADICIONES CON IVA]]</f>
        <v>1020000</v>
      </c>
      <c r="S139" s="4">
        <f>+Tabla15132[[#This Row],[FECHA TERMINACIÓN INICIAL CONTRATO]]-Tabla15132[[#This Row],[FECHA INICIO CONTRATO]]</f>
        <v>29</v>
      </c>
      <c r="T139" s="24" t="s">
        <v>318</v>
      </c>
      <c r="U139" s="58"/>
      <c r="V139" s="56" t="s">
        <v>318</v>
      </c>
      <c r="W139" s="70">
        <v>45901</v>
      </c>
      <c r="X139" s="70">
        <v>45930</v>
      </c>
      <c r="Y139" s="70">
        <v>45930</v>
      </c>
      <c r="Z139" s="65" t="str">
        <f>+Tabla15132[[#This Row],[ÁREA QUE CONTRATA ]]</f>
        <v>Sucursal Buenaventura</v>
      </c>
      <c r="AA139" s="72" t="s">
        <v>405</v>
      </c>
      <c r="AB139" s="60"/>
      <c r="AC139" s="60"/>
      <c r="AD139" s="56" t="s">
        <v>1965</v>
      </c>
      <c r="AE139" s="34"/>
      <c r="AF139" s="34"/>
      <c r="AG139" s="35"/>
      <c r="AH139" s="36" t="s">
        <v>2372</v>
      </c>
      <c r="AK139" s="81">
        <f>+Tabla15132[[#This Row],[VALOR TOTAL DEL CONTRATO CON IVA (VALOR INICIAL + ADICIONES) ]]-Tabla15132[[#This Row],[VALOR PAGADO (EN PESOS)
(TOTAL VR. FACTURAS)]]</f>
        <v>1020000</v>
      </c>
    </row>
    <row r="140" spans="1:37" ht="29" x14ac:dyDescent="0.35">
      <c r="A140" s="55"/>
      <c r="C140" s="2" t="s">
        <v>381</v>
      </c>
      <c r="D140" s="31" t="s">
        <v>714</v>
      </c>
      <c r="E140" s="96" t="s">
        <v>2373</v>
      </c>
      <c r="F140" s="70">
        <v>45908</v>
      </c>
      <c r="G140" s="30" t="s">
        <v>113</v>
      </c>
      <c r="H140" s="142" t="s">
        <v>2374</v>
      </c>
      <c r="I140" s="38">
        <v>440000</v>
      </c>
      <c r="J140" s="38">
        <v>83600</v>
      </c>
      <c r="K140" s="7">
        <v>523600</v>
      </c>
      <c r="L140" s="77" t="s">
        <v>96</v>
      </c>
      <c r="M140" s="67">
        <v>91480357</v>
      </c>
      <c r="N140" s="37"/>
      <c r="O140" s="1" t="s">
        <v>1049</v>
      </c>
      <c r="P140" s="73" t="s">
        <v>318</v>
      </c>
      <c r="Q140" s="3"/>
      <c r="R140" s="32">
        <f>+Tabla15132[[#This Row],[VALOR INICIAL DEL CONTRATO CON IVA]]+Tabla15132[[#This Row],[VALOR DE LAS ADICIONES CON IVA]]</f>
        <v>523600</v>
      </c>
      <c r="S140" s="4">
        <f>+Tabla15132[[#This Row],[FECHA TERMINACIÓN INICIAL CONTRATO]]-Tabla15132[[#This Row],[FECHA INICIO CONTRATO]]</f>
        <v>7</v>
      </c>
      <c r="T140" s="24" t="s">
        <v>318</v>
      </c>
      <c r="U140" s="58"/>
      <c r="V140" s="56" t="s">
        <v>318</v>
      </c>
      <c r="W140" s="70">
        <v>45909</v>
      </c>
      <c r="X140" s="70">
        <v>45916</v>
      </c>
      <c r="Y140" s="70">
        <v>45916</v>
      </c>
      <c r="Z140" s="65" t="str">
        <f>+Tabla15132[[#This Row],[ÁREA QUE CONTRATA ]]</f>
        <v>Sucursal Bucaramanga</v>
      </c>
      <c r="AA140" s="72" t="s">
        <v>405</v>
      </c>
      <c r="AB140" s="60"/>
      <c r="AC140" s="60"/>
      <c r="AD140" s="56" t="s">
        <v>1614</v>
      </c>
      <c r="AE140" s="34"/>
      <c r="AF140" s="34"/>
      <c r="AG140" s="35"/>
      <c r="AH140" s="36"/>
      <c r="AK140" s="81">
        <f>+Tabla15132[[#This Row],[VALOR TOTAL DEL CONTRATO CON IVA (VALOR INICIAL + ADICIONES) ]]-Tabla15132[[#This Row],[VALOR PAGADO (EN PESOS)
(TOTAL VR. FACTURAS)]]</f>
        <v>523600</v>
      </c>
    </row>
    <row r="141" spans="1:37" ht="29" x14ac:dyDescent="0.35">
      <c r="A141" s="55"/>
      <c r="C141" s="2" t="s">
        <v>341</v>
      </c>
      <c r="D141" s="31" t="s">
        <v>714</v>
      </c>
      <c r="E141" s="96" t="s">
        <v>2375</v>
      </c>
      <c r="F141" s="70">
        <v>45912</v>
      </c>
      <c r="G141" s="30" t="s">
        <v>113</v>
      </c>
      <c r="H141" s="142" t="s">
        <v>2376</v>
      </c>
      <c r="I141" s="38">
        <v>2808823</v>
      </c>
      <c r="J141" s="38">
        <v>533677</v>
      </c>
      <c r="K141" s="7">
        <v>3342500</v>
      </c>
      <c r="L141" s="77" t="s">
        <v>84</v>
      </c>
      <c r="M141" s="67">
        <v>900660695</v>
      </c>
      <c r="N141" s="37" t="s">
        <v>108</v>
      </c>
      <c r="O141" s="1" t="s">
        <v>2089</v>
      </c>
      <c r="P141" s="73" t="s">
        <v>318</v>
      </c>
      <c r="Q141" s="3"/>
      <c r="R141" s="32">
        <f>+Tabla15132[[#This Row],[VALOR INICIAL DEL CONTRATO CON IVA]]+Tabla15132[[#This Row],[VALOR DE LAS ADICIONES CON IVA]]</f>
        <v>3342500</v>
      </c>
      <c r="S141" s="4">
        <f>+Tabla15132[[#This Row],[FECHA TERMINACIÓN INICIAL CONTRATO]]-Tabla15132[[#This Row],[FECHA INICIO CONTRATO]]</f>
        <v>30</v>
      </c>
      <c r="T141" s="24" t="s">
        <v>318</v>
      </c>
      <c r="U141" s="58"/>
      <c r="V141" s="56" t="s">
        <v>318</v>
      </c>
      <c r="W141" s="70">
        <v>45912</v>
      </c>
      <c r="X141" s="70">
        <v>45942</v>
      </c>
      <c r="Y141" s="70">
        <v>45942</v>
      </c>
      <c r="Z141" s="65" t="str">
        <f>+Tabla15132[[#This Row],[ÁREA QUE CONTRATA ]]</f>
        <v>Sucursal Pereira</v>
      </c>
      <c r="AA141" s="72" t="s">
        <v>319</v>
      </c>
      <c r="AB141" s="60"/>
      <c r="AC141" s="60"/>
      <c r="AD141" s="56" t="s">
        <v>1062</v>
      </c>
      <c r="AE141" s="34"/>
      <c r="AF141" s="34"/>
      <c r="AG141" s="35"/>
      <c r="AH141" s="36"/>
      <c r="AK141" s="81">
        <f>+Tabla15132[[#This Row],[VALOR TOTAL DEL CONTRATO CON IVA (VALOR INICIAL + ADICIONES) ]]-Tabla15132[[#This Row],[VALOR PAGADO (EN PESOS)
(TOTAL VR. FACTURAS)]]</f>
        <v>3342500</v>
      </c>
    </row>
    <row r="142" spans="1:37" ht="29" x14ac:dyDescent="0.35">
      <c r="A142" s="55"/>
      <c r="C142" s="2" t="s">
        <v>385</v>
      </c>
      <c r="D142" s="31" t="s">
        <v>714</v>
      </c>
      <c r="E142" s="96" t="s">
        <v>2377</v>
      </c>
      <c r="F142" s="70">
        <v>45922</v>
      </c>
      <c r="G142" s="30" t="s">
        <v>142</v>
      </c>
      <c r="H142" s="142" t="s">
        <v>2378</v>
      </c>
      <c r="I142" s="38">
        <v>4130000</v>
      </c>
      <c r="J142" s="38">
        <v>33250</v>
      </c>
      <c r="K142" s="7">
        <v>4163250</v>
      </c>
      <c r="L142" s="77" t="s">
        <v>84</v>
      </c>
      <c r="M142" s="67">
        <v>901675944</v>
      </c>
      <c r="N142" s="37" t="s">
        <v>97</v>
      </c>
      <c r="O142" s="1" t="s">
        <v>2379</v>
      </c>
      <c r="P142" s="73" t="s">
        <v>318</v>
      </c>
      <c r="Q142" s="3"/>
      <c r="R142" s="32">
        <f>+Tabla15132[[#This Row],[VALOR INICIAL DEL CONTRATO CON IVA]]+Tabla15132[[#This Row],[VALOR DE LAS ADICIONES CON IVA]]</f>
        <v>4163250</v>
      </c>
      <c r="S142" s="4">
        <f>+Tabla15132[[#This Row],[FECHA TERMINACIÓN INICIAL CONTRATO]]-Tabla15132[[#This Row],[FECHA INICIO CONTRATO]]</f>
        <v>15</v>
      </c>
      <c r="T142" s="24" t="s">
        <v>318</v>
      </c>
      <c r="U142" s="58"/>
      <c r="V142" s="56" t="s">
        <v>318</v>
      </c>
      <c r="W142" s="70">
        <v>45922</v>
      </c>
      <c r="X142" s="70">
        <v>45937</v>
      </c>
      <c r="Y142" s="70">
        <v>45937</v>
      </c>
      <c r="Z142" s="65" t="str">
        <f>+Tabla15132[[#This Row],[ÁREA QUE CONTRATA ]]</f>
        <v>Sucursal Sincelejo</v>
      </c>
      <c r="AA142" s="72" t="s">
        <v>319</v>
      </c>
      <c r="AB142" s="60"/>
      <c r="AC142" s="60"/>
      <c r="AD142" s="56" t="s">
        <v>1774</v>
      </c>
      <c r="AE142" s="34"/>
      <c r="AF142" s="34"/>
      <c r="AG142" s="35"/>
      <c r="AH142" s="36"/>
      <c r="AK142" s="81">
        <f>+Tabla15132[[#This Row],[VALOR TOTAL DEL CONTRATO CON IVA (VALOR INICIAL + ADICIONES) ]]-Tabla15132[[#This Row],[VALOR PAGADO (EN PESOS)
(TOTAL VR. FACTURAS)]]</f>
        <v>4163250</v>
      </c>
    </row>
    <row r="143" spans="1:37" ht="39" x14ac:dyDescent="0.35">
      <c r="A143" s="55"/>
      <c r="C143" s="2" t="s">
        <v>1038</v>
      </c>
      <c r="D143" s="31" t="s">
        <v>714</v>
      </c>
      <c r="E143" s="96" t="s">
        <v>2380</v>
      </c>
      <c r="F143" s="70">
        <v>45924</v>
      </c>
      <c r="G143" s="30" t="s">
        <v>142</v>
      </c>
      <c r="H143" s="142" t="s">
        <v>2381</v>
      </c>
      <c r="I143" s="38">
        <v>1848739</v>
      </c>
      <c r="J143" s="38">
        <v>351261</v>
      </c>
      <c r="K143" s="7">
        <v>2200000</v>
      </c>
      <c r="L143" s="77" t="s">
        <v>96</v>
      </c>
      <c r="M143" s="67">
        <v>77194984</v>
      </c>
      <c r="N143" s="37"/>
      <c r="O143" s="1" t="s">
        <v>2382</v>
      </c>
      <c r="P143" s="73" t="s">
        <v>318</v>
      </c>
      <c r="Q143" s="3"/>
      <c r="R143" s="32">
        <f>+Tabla15132[[#This Row],[VALOR INICIAL DEL CONTRATO CON IVA]]+Tabla15132[[#This Row],[VALOR DE LAS ADICIONES CON IVA]]</f>
        <v>2200000</v>
      </c>
      <c r="S143" s="4">
        <f>+Tabla15132[[#This Row],[FECHA TERMINACIÓN INICIAL CONTRATO]]-Tabla15132[[#This Row],[FECHA INICIO CONTRATO]]</f>
        <v>30</v>
      </c>
      <c r="T143" s="24" t="s">
        <v>318</v>
      </c>
      <c r="U143" s="58"/>
      <c r="V143" s="56" t="s">
        <v>318</v>
      </c>
      <c r="W143" s="70">
        <v>45924</v>
      </c>
      <c r="X143" s="70">
        <v>45954</v>
      </c>
      <c r="Y143" s="70">
        <v>45954</v>
      </c>
      <c r="Z143" s="65" t="str">
        <f>+Tabla15132[[#This Row],[ÁREA QUE CONTRATA ]]</f>
        <v>Sucursal Riohacha</v>
      </c>
      <c r="AA143" s="72" t="s">
        <v>319</v>
      </c>
      <c r="AB143" s="60"/>
      <c r="AC143" s="60"/>
      <c r="AD143" s="56" t="s">
        <v>1614</v>
      </c>
      <c r="AE143" s="34"/>
      <c r="AF143" s="34"/>
      <c r="AG143" s="35"/>
      <c r="AH143" s="36"/>
      <c r="AK143" s="81">
        <f>+Tabla15132[[#This Row],[VALOR TOTAL DEL CONTRATO CON IVA (VALOR INICIAL + ADICIONES) ]]-Tabla15132[[#This Row],[VALOR PAGADO (EN PESOS)
(TOTAL VR. FACTURAS)]]</f>
        <v>2200000</v>
      </c>
    </row>
    <row r="144" spans="1:37" ht="39" x14ac:dyDescent="0.35">
      <c r="A144" s="55"/>
      <c r="C144" s="2" t="s">
        <v>344</v>
      </c>
      <c r="D144" s="31" t="s">
        <v>714</v>
      </c>
      <c r="E144" s="96" t="s">
        <v>2383</v>
      </c>
      <c r="F144" s="70">
        <v>45930</v>
      </c>
      <c r="G144" s="30" t="s">
        <v>142</v>
      </c>
      <c r="H144" s="142" t="s">
        <v>2384</v>
      </c>
      <c r="I144" s="38">
        <v>5650000</v>
      </c>
      <c r="J144" s="38">
        <v>235000</v>
      </c>
      <c r="K144" s="7">
        <v>5885000</v>
      </c>
      <c r="L144" s="77" t="s">
        <v>96</v>
      </c>
      <c r="M144" s="67">
        <v>80436938</v>
      </c>
      <c r="N144" s="37"/>
      <c r="O144" s="1" t="s">
        <v>2177</v>
      </c>
      <c r="P144" s="73" t="s">
        <v>318</v>
      </c>
      <c r="Q144" s="3"/>
      <c r="R144" s="32">
        <f>+Tabla15132[[#This Row],[VALOR INICIAL DEL CONTRATO CON IVA]]+Tabla15132[[#This Row],[VALOR DE LAS ADICIONES CON IVA]]</f>
        <v>5885000</v>
      </c>
      <c r="S144" s="4">
        <f>+Tabla15132[[#This Row],[FECHA TERMINACIÓN INICIAL CONTRATO]]-Tabla15132[[#This Row],[FECHA INICIO CONTRATO]]</f>
        <v>30</v>
      </c>
      <c r="T144" s="24" t="s">
        <v>318</v>
      </c>
      <c r="U144" s="58"/>
      <c r="V144" s="56" t="s">
        <v>318</v>
      </c>
      <c r="W144" s="70">
        <v>45930</v>
      </c>
      <c r="X144" s="70">
        <v>45960</v>
      </c>
      <c r="Y144" s="70">
        <v>45960</v>
      </c>
      <c r="Z144" s="65" t="str">
        <f>+Tabla15132[[#This Row],[ÁREA QUE CONTRATA ]]</f>
        <v>Sucursal Villavicencio</v>
      </c>
      <c r="AA144" s="72" t="s">
        <v>319</v>
      </c>
      <c r="AB144" s="60"/>
      <c r="AC144" s="60"/>
      <c r="AD144" s="56" t="s">
        <v>1774</v>
      </c>
      <c r="AE144" s="34"/>
      <c r="AF144" s="34"/>
      <c r="AG144" s="35"/>
      <c r="AH144" s="36"/>
      <c r="AK144" s="81">
        <f>+Tabla15132[[#This Row],[VALOR TOTAL DEL CONTRATO CON IVA (VALOR INICIAL + ADICIONES) ]]-Tabla15132[[#This Row],[VALOR PAGADO (EN PESOS)
(TOTAL VR. FACTURAS)]]</f>
        <v>5885000</v>
      </c>
    </row>
    <row r="145" spans="1:37" ht="29" x14ac:dyDescent="0.35">
      <c r="A145" s="55" t="s">
        <v>309</v>
      </c>
      <c r="B145" s="2" t="s">
        <v>310</v>
      </c>
      <c r="C145" s="30" t="s">
        <v>403</v>
      </c>
      <c r="D145" s="31" t="s">
        <v>313</v>
      </c>
      <c r="E145" s="96" t="s">
        <v>1056</v>
      </c>
      <c r="F145" s="70">
        <v>45536</v>
      </c>
      <c r="G145" s="2" t="s">
        <v>88</v>
      </c>
      <c r="H145" s="94" t="s">
        <v>1057</v>
      </c>
      <c r="I145" s="47">
        <v>36000000</v>
      </c>
      <c r="J145" s="32"/>
      <c r="K145" s="47">
        <v>36000000</v>
      </c>
      <c r="L145" s="77" t="s">
        <v>96</v>
      </c>
      <c r="M145" s="54">
        <v>18100882</v>
      </c>
      <c r="N145" s="30"/>
      <c r="O145" s="2" t="s">
        <v>404</v>
      </c>
      <c r="P145" s="73" t="s">
        <v>317</v>
      </c>
      <c r="Q145" s="3">
        <v>37872000</v>
      </c>
      <c r="R145" s="32">
        <f>+Tabla15132[[#This Row],[VALOR INICIAL DEL CONTRATO CON IVA]]+Tabla15132[[#This Row],[VALOR DE LAS ADICIONES CON IVA]]</f>
        <v>73872000</v>
      </c>
      <c r="S145" s="4">
        <f>+Tabla15132[[#This Row],[FECHA TERMINACIÓN INICIAL CONTRATO]]-Tabla15132[[#This Row],[FECHA INICIO CONTRATO]]</f>
        <v>365</v>
      </c>
      <c r="T145" s="24" t="s">
        <v>317</v>
      </c>
      <c r="U145" s="58">
        <f>+Tabla15132[[#This Row],[FECHA FINAL DEL CONTRATO]]-Tabla15132[[#This Row],[FECHA TERMINACIÓN INICIAL CONTRATO]]</f>
        <v>365</v>
      </c>
      <c r="V145" s="56" t="s">
        <v>318</v>
      </c>
      <c r="W145" s="70">
        <v>45536</v>
      </c>
      <c r="X145" s="70">
        <v>45901</v>
      </c>
      <c r="Y145" s="70">
        <v>46266</v>
      </c>
      <c r="Z145" s="65" t="str">
        <f>+Tabla15132[[#This Row],[ÁREA QUE CONTRATA ]]</f>
        <v>Sucursal Mocoa</v>
      </c>
      <c r="AA145" s="72" t="s">
        <v>319</v>
      </c>
      <c r="AB145" s="60"/>
      <c r="AC145" s="56"/>
      <c r="AD145" s="56" t="s">
        <v>320</v>
      </c>
      <c r="AE145" s="34">
        <v>1</v>
      </c>
      <c r="AF145" s="34">
        <v>1</v>
      </c>
      <c r="AG145" s="35">
        <v>36000000</v>
      </c>
      <c r="AH145" s="36" t="s">
        <v>1058</v>
      </c>
      <c r="AK145" s="81">
        <f>+Tabla15132[[#This Row],[VALOR TOTAL DEL CONTRATO CON IVA (VALOR INICIAL + ADICIONES) ]]-Tabla15132[[#This Row],[VALOR PAGADO (EN PESOS)
(TOTAL VR. FACTURAS)]]</f>
        <v>37872000</v>
      </c>
    </row>
    <row r="146" spans="1:37" ht="29" x14ac:dyDescent="0.35">
      <c r="A146" s="55" t="s">
        <v>330</v>
      </c>
      <c r="B146" s="2" t="s">
        <v>310</v>
      </c>
      <c r="C146" s="30" t="s">
        <v>677</v>
      </c>
      <c r="D146" s="31" t="s">
        <v>313</v>
      </c>
      <c r="E146" s="97" t="s">
        <v>678</v>
      </c>
      <c r="F146" s="70">
        <v>45272</v>
      </c>
      <c r="G146" s="2" t="s">
        <v>88</v>
      </c>
      <c r="H146" s="94" t="s">
        <v>2385</v>
      </c>
      <c r="I146" s="81">
        <v>248075018.48699999</v>
      </c>
      <c r="J146" s="81">
        <v>47134253.512500003</v>
      </c>
      <c r="K146" s="47">
        <v>295209272</v>
      </c>
      <c r="L146" s="77" t="s">
        <v>84</v>
      </c>
      <c r="M146" s="54">
        <v>891100247</v>
      </c>
      <c r="N146" s="30" t="s">
        <v>108</v>
      </c>
      <c r="O146" s="2" t="s">
        <v>679</v>
      </c>
      <c r="P146" s="56" t="s">
        <v>318</v>
      </c>
      <c r="Q146" s="3"/>
      <c r="R146" s="32">
        <f>+Tabla15132[[#This Row],[VALOR INICIAL DEL CONTRATO CON IVA]]+Tabla15132[[#This Row],[VALOR DE LAS ADICIONES CON IVA]]</f>
        <v>295209272</v>
      </c>
      <c r="S146" s="4">
        <f>+Tabla15132[[#This Row],[FECHA TERMINACIÓN INICIAL CONTRATO]]-Tabla15132[[#This Row],[FECHA INICIO CONTRATO]]</f>
        <v>1095</v>
      </c>
      <c r="T146" s="56" t="s">
        <v>318</v>
      </c>
      <c r="U146" s="58"/>
      <c r="V146" s="56" t="s">
        <v>318</v>
      </c>
      <c r="W146" s="70">
        <v>45282</v>
      </c>
      <c r="X146" s="70">
        <v>46377</v>
      </c>
      <c r="Y146" s="71">
        <v>46377</v>
      </c>
      <c r="Z146" s="65" t="str">
        <f>+Tabla15132[[#This Row],[ÁREA QUE CONTRATA ]]</f>
        <v>Sucursal Florencia</v>
      </c>
      <c r="AA146" s="72" t="s">
        <v>319</v>
      </c>
      <c r="AB146" s="60"/>
      <c r="AC146" s="56"/>
      <c r="AD146" s="56" t="s">
        <v>320</v>
      </c>
      <c r="AE146" s="34">
        <v>0.49880000000000002</v>
      </c>
      <c r="AF146" s="34">
        <v>0.49880000000000002</v>
      </c>
      <c r="AG146" s="35">
        <v>147967770</v>
      </c>
      <c r="AH146" s="36" t="s">
        <v>680</v>
      </c>
    </row>
    <row r="147" spans="1:37" ht="30.5" customHeight="1" x14ac:dyDescent="0.35">
      <c r="A147" s="55" t="s">
        <v>330</v>
      </c>
      <c r="B147" s="30" t="s">
        <v>310</v>
      </c>
      <c r="C147" s="30" t="s">
        <v>507</v>
      </c>
      <c r="D147" s="56" t="s">
        <v>362</v>
      </c>
      <c r="E147" s="97" t="s">
        <v>508</v>
      </c>
      <c r="F147" s="60">
        <v>44895</v>
      </c>
      <c r="G147" s="30" t="s">
        <v>150</v>
      </c>
      <c r="H147" s="93" t="s">
        <v>509</v>
      </c>
      <c r="I147" s="33">
        <v>285354035</v>
      </c>
      <c r="J147" s="32">
        <v>54217268</v>
      </c>
      <c r="K147" s="33">
        <v>339571303</v>
      </c>
      <c r="L147" s="76" t="s">
        <v>84</v>
      </c>
      <c r="M147" s="54">
        <v>900518919</v>
      </c>
      <c r="N147" s="30" t="s">
        <v>97</v>
      </c>
      <c r="O147" s="30" t="s">
        <v>510</v>
      </c>
      <c r="P147" s="56" t="s">
        <v>318</v>
      </c>
      <c r="Q147" s="26"/>
      <c r="R147" s="32">
        <f>+Tabla15132[[#This Row],[VALOR INICIAL DEL CONTRATO CON IVA]]+Tabla15132[[#This Row],[VALOR DE LAS ADICIONES CON IVA]]</f>
        <v>339571303</v>
      </c>
      <c r="S147" s="4">
        <f>+Tabla15132[[#This Row],[FECHA TERMINACIÓN INICIAL CONTRATO]]-Tabla15132[[#This Row],[FECHA INICIO CONTRATO]]</f>
        <v>1339</v>
      </c>
      <c r="T147" s="56" t="s">
        <v>318</v>
      </c>
      <c r="U147" s="58"/>
      <c r="V147" s="56" t="s">
        <v>318</v>
      </c>
      <c r="W147" s="60">
        <v>44895</v>
      </c>
      <c r="X147" s="61">
        <v>46234</v>
      </c>
      <c r="Y147" s="61">
        <v>46234</v>
      </c>
      <c r="Z147" s="65" t="str">
        <f>+Tabla15132[[#This Row],[ÁREA QUE CONTRATA ]]</f>
        <v>Sucursal Estatal</v>
      </c>
      <c r="AA147" s="55" t="s">
        <v>319</v>
      </c>
      <c r="AB147" s="60"/>
      <c r="AC147" s="56"/>
      <c r="AD147" s="56" t="s">
        <v>1053</v>
      </c>
      <c r="AE147" s="34">
        <v>0.75</v>
      </c>
      <c r="AF147" s="34">
        <v>0.87</v>
      </c>
      <c r="AG147" s="35">
        <v>295249187.58999997</v>
      </c>
      <c r="AH147" s="36" t="s">
        <v>1842</v>
      </c>
    </row>
    <row r="148" spans="1:37" ht="33" customHeight="1" x14ac:dyDescent="0.35">
      <c r="A148" s="55" t="s">
        <v>330</v>
      </c>
      <c r="B148" s="30" t="s">
        <v>310</v>
      </c>
      <c r="C148" s="30" t="s">
        <v>507</v>
      </c>
      <c r="D148" s="56" t="s">
        <v>313</v>
      </c>
      <c r="E148" s="97" t="s">
        <v>512</v>
      </c>
      <c r="F148" s="60">
        <v>44896</v>
      </c>
      <c r="G148" s="30" t="s">
        <v>150</v>
      </c>
      <c r="H148" s="93" t="s">
        <v>513</v>
      </c>
      <c r="I148" s="33">
        <v>198634860</v>
      </c>
      <c r="J148" s="32">
        <v>37740623</v>
      </c>
      <c r="K148" s="33">
        <v>236375483</v>
      </c>
      <c r="L148" s="76" t="s">
        <v>84</v>
      </c>
      <c r="M148" s="54">
        <v>900687292</v>
      </c>
      <c r="N148" s="30" t="s">
        <v>117</v>
      </c>
      <c r="O148" s="30" t="s">
        <v>514</v>
      </c>
      <c r="P148" s="56" t="s">
        <v>318</v>
      </c>
      <c r="Q148" s="26"/>
      <c r="R148" s="32">
        <f>+Tabla15132[[#This Row],[VALOR INICIAL DEL CONTRATO CON IVA]]+Tabla15132[[#This Row],[VALOR DE LAS ADICIONES CON IVA]]</f>
        <v>236375483</v>
      </c>
      <c r="S148" s="4">
        <f>+Tabla15132[[#This Row],[FECHA TERMINACIÓN INICIAL CONTRATO]]-Tabla15132[[#This Row],[FECHA INICIO CONTRATO]]</f>
        <v>1445</v>
      </c>
      <c r="T148" s="56" t="s">
        <v>318</v>
      </c>
      <c r="U148" s="58"/>
      <c r="V148" s="56" t="s">
        <v>318</v>
      </c>
      <c r="W148" s="60">
        <v>44911</v>
      </c>
      <c r="X148" s="61">
        <v>46356</v>
      </c>
      <c r="Y148" s="61">
        <v>46356</v>
      </c>
      <c r="Z148" s="65" t="str">
        <f>+Tabla15132[[#This Row],[ÁREA QUE CONTRATA ]]</f>
        <v>Sucursal Estatal</v>
      </c>
      <c r="AA148" s="55" t="s">
        <v>319</v>
      </c>
      <c r="AB148" s="60"/>
      <c r="AC148" s="56"/>
      <c r="AD148" s="56" t="s">
        <v>1053</v>
      </c>
      <c r="AE148" s="34">
        <v>0.68</v>
      </c>
      <c r="AF148" s="34">
        <v>0.56999999999999995</v>
      </c>
      <c r="AG148" s="35">
        <v>135127564</v>
      </c>
      <c r="AH148" s="36" t="s">
        <v>1843</v>
      </c>
    </row>
    <row r="149" spans="1:37" ht="29" x14ac:dyDescent="0.35">
      <c r="A149" s="55" t="s">
        <v>309</v>
      </c>
      <c r="B149" s="30" t="s">
        <v>310</v>
      </c>
      <c r="C149" s="30" t="s">
        <v>426</v>
      </c>
      <c r="D149" s="60" t="s">
        <v>313</v>
      </c>
      <c r="E149" s="97" t="s">
        <v>427</v>
      </c>
      <c r="F149" s="60">
        <v>44102</v>
      </c>
      <c r="G149" s="2" t="s">
        <v>88</v>
      </c>
      <c r="H149" s="93" t="s">
        <v>428</v>
      </c>
      <c r="I149" s="32">
        <v>14796000</v>
      </c>
      <c r="J149" s="32">
        <v>0</v>
      </c>
      <c r="K149" s="3">
        <v>14796000</v>
      </c>
      <c r="L149" s="76" t="s">
        <v>96</v>
      </c>
      <c r="M149" s="54">
        <v>19070063</v>
      </c>
      <c r="N149" s="30"/>
      <c r="O149" s="30" t="s">
        <v>429</v>
      </c>
      <c r="P149" s="56" t="s">
        <v>317</v>
      </c>
      <c r="Q149" s="26">
        <f>68505194+17962476</f>
        <v>86467670</v>
      </c>
      <c r="R149" s="32">
        <f>+Tabla15132[[#This Row],[VALOR INICIAL DEL CONTRATO CON IVA]]+Tabla15132[[#This Row],[VALOR DE LAS ADICIONES CON IVA]]</f>
        <v>101263670</v>
      </c>
      <c r="S149" s="4">
        <f>+Tabla15132[[#This Row],[FECHA TERMINACIÓN INICIAL CONTRATO]]-Tabla15132[[#This Row],[FECHA INICIO CONTRATO]]</f>
        <v>365</v>
      </c>
      <c r="T149" s="56" t="s">
        <v>317</v>
      </c>
      <c r="U149" s="58">
        <f>+Tabla15132[[#This Row],[FECHA FINAL DEL CONTRATO]]-Tabla15132[[#This Row],[FECHA TERMINACIÓN INICIAL CONTRATO]]</f>
        <v>1825</v>
      </c>
      <c r="V149" s="59" t="s">
        <v>318</v>
      </c>
      <c r="W149" s="60">
        <v>44105</v>
      </c>
      <c r="X149" s="61">
        <v>44470</v>
      </c>
      <c r="Y149" s="61">
        <v>46295</v>
      </c>
      <c r="Z149" s="62" t="str">
        <f>+Tabla15132[[#This Row],[ÁREA QUE CONTRATA ]]</f>
        <v>Sucursal Cúcuta</v>
      </c>
      <c r="AA149" s="55" t="s">
        <v>319</v>
      </c>
      <c r="AB149" s="60"/>
      <c r="AC149" s="56"/>
      <c r="AD149" s="56" t="s">
        <v>320</v>
      </c>
      <c r="AE149" s="34" t="s">
        <v>2386</v>
      </c>
      <c r="AF149" s="34" t="s">
        <v>2386</v>
      </c>
      <c r="AG149" s="35">
        <v>81665413</v>
      </c>
      <c r="AH149" s="36" t="s">
        <v>312</v>
      </c>
    </row>
    <row r="150" spans="1:37" ht="65.5" customHeight="1" x14ac:dyDescent="0.35">
      <c r="A150" s="55" t="s">
        <v>309</v>
      </c>
      <c r="B150" s="30" t="s">
        <v>310</v>
      </c>
      <c r="C150" s="30" t="s">
        <v>399</v>
      </c>
      <c r="D150" s="60" t="s">
        <v>313</v>
      </c>
      <c r="E150" s="97" t="s">
        <v>400</v>
      </c>
      <c r="F150" s="60">
        <v>42934</v>
      </c>
      <c r="G150" s="2" t="s">
        <v>88</v>
      </c>
      <c r="H150" s="93" t="s">
        <v>401</v>
      </c>
      <c r="I150" s="32">
        <v>341102875</v>
      </c>
      <c r="J150" s="32">
        <v>4023893</v>
      </c>
      <c r="K150" s="3">
        <v>345126768</v>
      </c>
      <c r="L150" s="76" t="s">
        <v>84</v>
      </c>
      <c r="M150" s="54">
        <v>800019543</v>
      </c>
      <c r="N150" s="30" t="s">
        <v>103</v>
      </c>
      <c r="O150" s="30" t="s">
        <v>402</v>
      </c>
      <c r="P150" s="56" t="s">
        <v>317</v>
      </c>
      <c r="Q150" s="26">
        <v>377664774</v>
      </c>
      <c r="R150" s="32">
        <f>+Tabla15132[[#This Row],[VALOR INICIAL DEL CONTRATO CON IVA]]+Tabla15132[[#This Row],[VALOR DE LAS ADICIONES CON IVA]]</f>
        <v>722791542</v>
      </c>
      <c r="S150" s="4">
        <f>+Tabla15132[[#This Row],[FECHA TERMINACIÓN INICIAL CONTRATO]]-Tabla15132[[#This Row],[FECHA INICIO CONTRATO]]</f>
        <v>365</v>
      </c>
      <c r="T150" s="56" t="s">
        <v>317</v>
      </c>
      <c r="U150" s="58">
        <f>+Tabla15132[[#This Row],[FECHA FINAL DEL CONTRATO]]-Tabla15132[[#This Row],[FECHA TERMINACIÓN INICIAL CONTRATO]]</f>
        <v>2922</v>
      </c>
      <c r="V150" s="59" t="s">
        <v>318</v>
      </c>
      <c r="W150" s="60">
        <v>42934</v>
      </c>
      <c r="X150" s="61">
        <v>43299</v>
      </c>
      <c r="Y150" s="61">
        <v>46221</v>
      </c>
      <c r="Z150" s="65" t="str">
        <f>+Tabla15132[[#This Row],[ÁREA QUE CONTRATA ]]</f>
        <v>Sucursal Buenaventura</v>
      </c>
      <c r="AA150" s="55" t="s">
        <v>319</v>
      </c>
      <c r="AB150" s="60"/>
      <c r="AC150" s="56"/>
      <c r="AD150" s="56" t="s">
        <v>2387</v>
      </c>
      <c r="AE150" s="34">
        <v>0.98260000000000003</v>
      </c>
      <c r="AF150" s="34">
        <v>0.98260000000000003</v>
      </c>
      <c r="AG150" s="35" t="s">
        <v>1844</v>
      </c>
      <c r="AH150" s="36" t="s">
        <v>312</v>
      </c>
    </row>
    <row r="151" spans="1:37" ht="29" x14ac:dyDescent="0.35">
      <c r="A151" s="55" t="s">
        <v>309</v>
      </c>
      <c r="B151" s="30" t="s">
        <v>310</v>
      </c>
      <c r="C151" s="30" t="s">
        <v>385</v>
      </c>
      <c r="D151" s="60" t="s">
        <v>313</v>
      </c>
      <c r="E151" s="97" t="s">
        <v>386</v>
      </c>
      <c r="F151" s="60">
        <v>41426</v>
      </c>
      <c r="G151" s="2" t="s">
        <v>88</v>
      </c>
      <c r="H151" s="93" t="s">
        <v>387</v>
      </c>
      <c r="I151" s="32">
        <v>292735916</v>
      </c>
      <c r="J151" s="32">
        <v>55619824</v>
      </c>
      <c r="K151" s="3">
        <v>348355740</v>
      </c>
      <c r="L151" s="76" t="s">
        <v>84</v>
      </c>
      <c r="M151" s="54">
        <v>901237679</v>
      </c>
      <c r="N151" s="30" t="s">
        <v>117</v>
      </c>
      <c r="O151" s="30" t="s">
        <v>388</v>
      </c>
      <c r="P151" s="56" t="s">
        <v>317</v>
      </c>
      <c r="Q151" s="26">
        <v>113403699</v>
      </c>
      <c r="R151" s="32">
        <f>+Tabla15132[[#This Row],[VALOR INICIAL DEL CONTRATO CON IVA]]+Tabla15132[[#This Row],[VALOR DE LAS ADICIONES CON IVA]]</f>
        <v>461759439</v>
      </c>
      <c r="S151" s="4">
        <f>+Tabla15132[[#This Row],[FECHA TERMINACIÓN INICIAL CONTRATO]]-Tabla15132[[#This Row],[FECHA INICIO CONTRATO]]</f>
        <v>1825</v>
      </c>
      <c r="T151" s="56" t="s">
        <v>317</v>
      </c>
      <c r="U151" s="58">
        <f>+Tabla15132[[#This Row],[FECHA FINAL DEL CONTRATO]]-Tabla15132[[#This Row],[FECHA TERMINACIÓN INICIAL CONTRATO]]</f>
        <v>2922</v>
      </c>
      <c r="V151" s="59" t="s">
        <v>318</v>
      </c>
      <c r="W151" s="60">
        <v>41426</v>
      </c>
      <c r="X151" s="61">
        <v>43251</v>
      </c>
      <c r="Y151" s="99">
        <v>46173</v>
      </c>
      <c r="Z151" s="62" t="str">
        <f>+Tabla15132[[#This Row],[ÁREA QUE CONTRATA ]]</f>
        <v>Sucursal Sincelejo</v>
      </c>
      <c r="AA151" s="55" t="s">
        <v>319</v>
      </c>
      <c r="AB151" s="60"/>
      <c r="AC151" s="56"/>
      <c r="AD151" s="151" t="s">
        <v>2388</v>
      </c>
      <c r="AE151" s="34">
        <v>0.16669999999999999</v>
      </c>
      <c r="AF151" s="34">
        <v>0.16669999999999999</v>
      </c>
      <c r="AG151" s="35">
        <v>19890726.239999998</v>
      </c>
      <c r="AH151" s="36" t="s">
        <v>312</v>
      </c>
    </row>
    <row r="152" spans="1:37" ht="29" x14ac:dyDescent="0.35">
      <c r="A152" s="55" t="s">
        <v>309</v>
      </c>
      <c r="B152" s="30" t="s">
        <v>310</v>
      </c>
      <c r="C152" s="30" t="s">
        <v>389</v>
      </c>
      <c r="D152" s="60" t="s">
        <v>313</v>
      </c>
      <c r="E152" s="97" t="s">
        <v>390</v>
      </c>
      <c r="F152" s="60">
        <v>41439</v>
      </c>
      <c r="G152" s="2" t="s">
        <v>88</v>
      </c>
      <c r="H152" s="93" t="s">
        <v>391</v>
      </c>
      <c r="I152" s="3">
        <v>353922756</v>
      </c>
      <c r="J152" s="32">
        <v>56627640</v>
      </c>
      <c r="K152" s="3">
        <v>410550396</v>
      </c>
      <c r="L152" s="76" t="s">
        <v>84</v>
      </c>
      <c r="M152" s="54">
        <v>800031865</v>
      </c>
      <c r="N152" s="30" t="s">
        <v>123</v>
      </c>
      <c r="O152" s="30" t="s">
        <v>392</v>
      </c>
      <c r="P152" s="56" t="s">
        <v>317</v>
      </c>
      <c r="Q152" s="26">
        <v>769172276</v>
      </c>
      <c r="R152" s="32">
        <f>+Tabla15132[[#This Row],[VALOR INICIAL DEL CONTRATO CON IVA]]+Tabla15132[[#This Row],[VALOR DE LAS ADICIONES CON IVA]]</f>
        <v>1179722672</v>
      </c>
      <c r="S152" s="4">
        <f>+Tabla15132[[#This Row],[FECHA TERMINACIÓN INICIAL CONTRATO]]-Tabla15132[[#This Row],[FECHA INICIO CONTRATO]]</f>
        <v>1826</v>
      </c>
      <c r="T152" s="56" t="s">
        <v>317</v>
      </c>
      <c r="U152" s="58">
        <f>+Tabla15132[[#This Row],[FECHA FINAL DEL CONTRATO]]-Tabla15132[[#This Row],[FECHA TERMINACIÓN INICIAL CONTRATO]]</f>
        <v>2922</v>
      </c>
      <c r="V152" s="59" t="s">
        <v>318</v>
      </c>
      <c r="W152" s="60">
        <v>41439</v>
      </c>
      <c r="X152" s="61">
        <v>43265</v>
      </c>
      <c r="Y152" s="61">
        <v>46187</v>
      </c>
      <c r="Z152" s="62" t="str">
        <f>+Tabla15132[[#This Row],[ÁREA QUE CONTRATA ]]</f>
        <v>Sucursal Manizales</v>
      </c>
      <c r="AA152" s="55" t="s">
        <v>319</v>
      </c>
      <c r="AB152" s="60"/>
      <c r="AC152" s="56"/>
      <c r="AD152" s="56" t="s">
        <v>2389</v>
      </c>
      <c r="AE152" s="34">
        <v>0.91700000000000004</v>
      </c>
      <c r="AF152" s="34">
        <v>0.93</v>
      </c>
      <c r="AG152" s="152">
        <v>124271498.94</v>
      </c>
      <c r="AH152" s="36" t="s">
        <v>312</v>
      </c>
    </row>
    <row r="153" spans="1:37" ht="43.5" x14ac:dyDescent="0.35">
      <c r="A153" s="55" t="s">
        <v>309</v>
      </c>
      <c r="B153" s="30" t="s">
        <v>310</v>
      </c>
      <c r="C153" s="30" t="s">
        <v>393</v>
      </c>
      <c r="D153" s="60" t="s">
        <v>313</v>
      </c>
      <c r="E153" s="97" t="s">
        <v>394</v>
      </c>
      <c r="F153" s="60">
        <v>41501</v>
      </c>
      <c r="G153" s="2" t="s">
        <v>88</v>
      </c>
      <c r="H153" s="93" t="s">
        <v>395</v>
      </c>
      <c r="I153" s="32">
        <v>30624000</v>
      </c>
      <c r="J153" s="32">
        <v>11788800</v>
      </c>
      <c r="K153" s="3">
        <f>30624000+11788800</f>
        <v>42412800</v>
      </c>
      <c r="L153" s="76" t="s">
        <v>84</v>
      </c>
      <c r="M153" s="54">
        <v>891300271</v>
      </c>
      <c r="N153" s="30" t="s">
        <v>91</v>
      </c>
      <c r="O153" s="30" t="s">
        <v>396</v>
      </c>
      <c r="P153" s="56" t="s">
        <v>317</v>
      </c>
      <c r="Q153" s="26">
        <v>636601345</v>
      </c>
      <c r="R153" s="32">
        <f>+Tabla15132[[#This Row],[VALOR INICIAL DEL CONTRATO CON IVA]]+Tabla15132[[#This Row],[VALOR DE LAS ADICIONES CON IVA]]</f>
        <v>679014145</v>
      </c>
      <c r="S153" s="4">
        <f>+Tabla15132[[#This Row],[FECHA TERMINACIÓN INICIAL CONTRATO]]-Tabla15132[[#This Row],[FECHA INICIO CONTRATO]]</f>
        <v>3651</v>
      </c>
      <c r="T153" s="56" t="s">
        <v>317</v>
      </c>
      <c r="U153" s="58">
        <f>+Tabla15132[[#This Row],[FECHA FINAL DEL CONTRATO]]-Tabla15132[[#This Row],[FECHA TERMINACIÓN INICIAL CONTRATO]]</f>
        <v>1096</v>
      </c>
      <c r="V153" s="59" t="s">
        <v>318</v>
      </c>
      <c r="W153" s="60">
        <v>41501</v>
      </c>
      <c r="X153" s="60">
        <v>45152</v>
      </c>
      <c r="Y153" s="60">
        <v>46248</v>
      </c>
      <c r="Z153" s="62" t="str">
        <f>+Tabla15132[[#This Row],[ÁREA QUE CONTRATA ]]</f>
        <v>Sucursal Cali</v>
      </c>
      <c r="AA153" s="55" t="s">
        <v>319</v>
      </c>
      <c r="AB153" s="60"/>
      <c r="AC153" s="56"/>
      <c r="AD153" s="56" t="s">
        <v>2390</v>
      </c>
      <c r="AE153" s="34">
        <v>0.98860000000000003</v>
      </c>
      <c r="AF153" s="34">
        <v>1</v>
      </c>
      <c r="AG153" s="35">
        <v>666060072</v>
      </c>
      <c r="AH153" s="36" t="s">
        <v>312</v>
      </c>
    </row>
    <row r="154" spans="1:37" ht="29" x14ac:dyDescent="0.35">
      <c r="A154" s="55" t="s">
        <v>309</v>
      </c>
      <c r="B154" s="30" t="s">
        <v>310</v>
      </c>
      <c r="C154" s="30" t="s">
        <v>381</v>
      </c>
      <c r="D154" s="60" t="s">
        <v>313</v>
      </c>
      <c r="E154" s="97" t="s">
        <v>382</v>
      </c>
      <c r="F154" s="60">
        <v>41247</v>
      </c>
      <c r="G154" s="2" t="s">
        <v>88</v>
      </c>
      <c r="H154" s="93" t="s">
        <v>383</v>
      </c>
      <c r="I154" s="32">
        <v>636303431</v>
      </c>
      <c r="J154" s="32">
        <v>101808549</v>
      </c>
      <c r="K154" s="3">
        <v>738111980</v>
      </c>
      <c r="L154" s="76" t="s">
        <v>84</v>
      </c>
      <c r="M154" s="54">
        <v>805000082</v>
      </c>
      <c r="N154" s="30" t="s">
        <v>108</v>
      </c>
      <c r="O154" s="30" t="s">
        <v>384</v>
      </c>
      <c r="P154" s="56" t="s">
        <v>317</v>
      </c>
      <c r="Q154" s="26">
        <v>1173826941</v>
      </c>
      <c r="R154" s="32">
        <f>+Tabla15132[[#This Row],[VALOR INICIAL DEL CONTRATO CON IVA]]+Tabla15132[[#This Row],[VALOR DE LAS ADICIONES CON IVA]]</f>
        <v>1911938921</v>
      </c>
      <c r="S154" s="4">
        <f>+Tabla15132[[#This Row],[FECHA TERMINACIÓN INICIAL CONTRATO]]-Tabla15132[[#This Row],[FECHA INICIO CONTRATO]]</f>
        <v>4383</v>
      </c>
      <c r="T154" s="56" t="s">
        <v>317</v>
      </c>
      <c r="U154" s="58">
        <f>+Tabla15132[[#This Row],[FECHA FINAL DEL CONTRATO]]-Tabla15132[[#This Row],[FECHA TERMINACIÓN INICIAL CONTRATO]]</f>
        <v>365</v>
      </c>
      <c r="V154" s="59" t="s">
        <v>318</v>
      </c>
      <c r="W154" s="60">
        <v>41247</v>
      </c>
      <c r="X154" s="61">
        <v>45630</v>
      </c>
      <c r="Y154" s="61">
        <v>45995</v>
      </c>
      <c r="Z154" s="65" t="str">
        <f>+Tabla15132[[#This Row],[ÁREA QUE CONTRATA ]]</f>
        <v>Sucursal Bucaramanga</v>
      </c>
      <c r="AA154" s="55" t="s">
        <v>319</v>
      </c>
      <c r="AB154" s="60"/>
      <c r="AC154" s="56"/>
      <c r="AD154" s="56" t="s">
        <v>320</v>
      </c>
      <c r="AE154" s="34">
        <v>0.83330000000000004</v>
      </c>
      <c r="AF154" s="34">
        <v>0.83330000000000004</v>
      </c>
      <c r="AG154" s="35">
        <v>169084006</v>
      </c>
      <c r="AH154" s="36" t="s">
        <v>312</v>
      </c>
    </row>
    <row r="155" spans="1:37" ht="43.5" x14ac:dyDescent="0.35">
      <c r="A155" s="55" t="s">
        <v>309</v>
      </c>
      <c r="B155" s="30" t="s">
        <v>310</v>
      </c>
      <c r="C155" s="2" t="s">
        <v>372</v>
      </c>
      <c r="D155" s="60" t="s">
        <v>313</v>
      </c>
      <c r="E155" s="97" t="s">
        <v>373</v>
      </c>
      <c r="F155" s="60">
        <v>40878</v>
      </c>
      <c r="G155" s="2" t="s">
        <v>88</v>
      </c>
      <c r="H155" s="93" t="s">
        <v>374</v>
      </c>
      <c r="I155" s="32">
        <v>221090591</v>
      </c>
      <c r="J155" s="32">
        <v>42007212</v>
      </c>
      <c r="K155" s="3">
        <v>263097803</v>
      </c>
      <c r="L155" s="76" t="s">
        <v>84</v>
      </c>
      <c r="M155" s="54" t="s">
        <v>375</v>
      </c>
      <c r="N155" s="30" t="s">
        <v>97</v>
      </c>
      <c r="O155" s="30" t="s">
        <v>376</v>
      </c>
      <c r="P155" s="56" t="s">
        <v>317</v>
      </c>
      <c r="Q155" s="26">
        <v>2337034112</v>
      </c>
      <c r="R155" s="32">
        <f>+Tabla15132[[#This Row],[VALOR INICIAL DEL CONTRATO CON IVA]]+Tabla15132[[#This Row],[VALOR DE LAS ADICIONES CON IVA]]</f>
        <v>2600131915</v>
      </c>
      <c r="S155" s="4">
        <f>+Tabla15132[[#This Row],[FECHA TERMINACIÓN INICIAL CONTRATO]]-Tabla15132[[#This Row],[FECHA INICIO CONTRATO]]</f>
        <v>5114</v>
      </c>
      <c r="T155" s="56" t="s">
        <v>317</v>
      </c>
      <c r="U155" s="58"/>
      <c r="V155" s="59" t="s">
        <v>318</v>
      </c>
      <c r="W155" s="60">
        <v>40878</v>
      </c>
      <c r="X155" s="61">
        <v>45992</v>
      </c>
      <c r="Y155" s="61">
        <v>45992</v>
      </c>
      <c r="Z155" s="62" t="str">
        <f>+Tabla15132[[#This Row],[ÁREA QUE CONTRATA ]]</f>
        <v xml:space="preserve">Centro Empresarial Corporativo </v>
      </c>
      <c r="AA155" s="55" t="s">
        <v>319</v>
      </c>
      <c r="AB155" s="60"/>
      <c r="AC155" s="56"/>
      <c r="AD155" s="56" t="s">
        <v>377</v>
      </c>
      <c r="AE155" s="34">
        <v>0.75</v>
      </c>
      <c r="AF155" s="34">
        <v>0.75</v>
      </c>
      <c r="AG155" s="35">
        <v>279857272</v>
      </c>
      <c r="AH155" s="36" t="s">
        <v>312</v>
      </c>
    </row>
    <row r="156" spans="1:37" ht="29" x14ac:dyDescent="0.35">
      <c r="A156" s="55" t="s">
        <v>309</v>
      </c>
      <c r="B156" s="30" t="s">
        <v>310</v>
      </c>
      <c r="C156" s="30" t="s">
        <v>358</v>
      </c>
      <c r="D156" s="60" t="s">
        <v>313</v>
      </c>
      <c r="E156" s="97" t="s">
        <v>359</v>
      </c>
      <c r="F156" s="60">
        <v>39941</v>
      </c>
      <c r="G156" s="2" t="s">
        <v>88</v>
      </c>
      <c r="H156" s="93" t="s">
        <v>360</v>
      </c>
      <c r="I156" s="3">
        <v>186191988</v>
      </c>
      <c r="J156" s="32"/>
      <c r="K156" s="3">
        <v>186191988</v>
      </c>
      <c r="L156" s="76" t="s">
        <v>84</v>
      </c>
      <c r="M156" s="54">
        <v>813001376</v>
      </c>
      <c r="N156" s="30" t="s">
        <v>120</v>
      </c>
      <c r="O156" s="30" t="s">
        <v>361</v>
      </c>
      <c r="P156" s="56" t="s">
        <v>317</v>
      </c>
      <c r="Q156" s="26">
        <v>1839296709</v>
      </c>
      <c r="R156" s="32">
        <f>+Tabla15132[[#This Row],[VALOR INICIAL DEL CONTRATO CON IVA]]+Tabla15132[[#This Row],[VALOR DE LAS ADICIONES CON IVA]]</f>
        <v>2025488697</v>
      </c>
      <c r="S156" s="4">
        <f>+Tabla15132[[#This Row],[FECHA TERMINACIÓN INICIAL CONTRATO]]-Tabla15132[[#This Row],[FECHA INICIO CONTRATO]]</f>
        <v>6208</v>
      </c>
      <c r="T156" s="56" t="s">
        <v>317</v>
      </c>
      <c r="U156" s="58"/>
      <c r="V156" s="59" t="s">
        <v>318</v>
      </c>
      <c r="W156" s="60">
        <v>39944</v>
      </c>
      <c r="X156" s="61">
        <v>46152</v>
      </c>
      <c r="Y156" s="61">
        <v>46152</v>
      </c>
      <c r="Z156" s="62" t="str">
        <f>+Tabla15132[[#This Row],[ÁREA QUE CONTRATA ]]</f>
        <v>Sucursal Neiva</v>
      </c>
      <c r="AA156" s="55" t="s">
        <v>319</v>
      </c>
      <c r="AB156" s="60"/>
      <c r="AC156" s="56"/>
      <c r="AD156" s="56" t="s">
        <v>320</v>
      </c>
      <c r="AE156" s="34">
        <v>0.96079999999999999</v>
      </c>
      <c r="AF156" s="34">
        <v>0.96079999999999999</v>
      </c>
      <c r="AG156" s="35">
        <v>1937681285</v>
      </c>
      <c r="AH156" s="36" t="s">
        <v>312</v>
      </c>
    </row>
    <row r="157" spans="1:37" ht="58" x14ac:dyDescent="0.35">
      <c r="A157" s="55" t="s">
        <v>309</v>
      </c>
      <c r="B157" s="30" t="s">
        <v>310</v>
      </c>
      <c r="C157" s="2" t="s">
        <v>353</v>
      </c>
      <c r="D157" s="60" t="s">
        <v>313</v>
      </c>
      <c r="E157" s="97" t="s">
        <v>354</v>
      </c>
      <c r="F157" s="60">
        <v>39687</v>
      </c>
      <c r="G157" s="2" t="s">
        <v>88</v>
      </c>
      <c r="H157" s="93" t="s">
        <v>355</v>
      </c>
      <c r="I157" s="32">
        <v>13500000</v>
      </c>
      <c r="J157" s="32">
        <v>0</v>
      </c>
      <c r="K157" s="3">
        <v>13500000</v>
      </c>
      <c r="L157" s="76" t="s">
        <v>84</v>
      </c>
      <c r="M157" s="54">
        <v>800152512</v>
      </c>
      <c r="N157" s="30" t="s">
        <v>103</v>
      </c>
      <c r="O157" s="30" t="s">
        <v>356</v>
      </c>
      <c r="P157" s="56" t="s">
        <v>317</v>
      </c>
      <c r="Q157" s="26">
        <f>49052304+21351871</f>
        <v>70404175</v>
      </c>
      <c r="R157" s="32">
        <f>+Tabla15132[[#This Row],[VALOR INICIAL DEL CONTRATO CON IVA]]+Tabla15132[[#This Row],[VALOR DE LAS ADICIONES CON IVA]]</f>
        <v>83904175</v>
      </c>
      <c r="S157" s="4">
        <f>+Tabla15132[[#This Row],[FECHA TERMINACIÓN INICIAL CONTRATO]]-Tabla15132[[#This Row],[FECHA INICIO CONTRATO]]</f>
        <v>6335</v>
      </c>
      <c r="T157" s="56" t="s">
        <v>317</v>
      </c>
      <c r="U157" s="58"/>
      <c r="V157" s="59" t="s">
        <v>318</v>
      </c>
      <c r="W157" s="60">
        <v>39687</v>
      </c>
      <c r="X157" s="61">
        <v>46022</v>
      </c>
      <c r="Y157" s="61">
        <v>46022</v>
      </c>
      <c r="Z157" s="62" t="str">
        <f>+Tabla15132[[#This Row],[ÁREA QUE CONTRATA ]]</f>
        <v>Sucursal Medellin</v>
      </c>
      <c r="AA157" s="55" t="s">
        <v>319</v>
      </c>
      <c r="AB157" s="60"/>
      <c r="AC157" s="56"/>
      <c r="AD157" s="56" t="s">
        <v>357</v>
      </c>
      <c r="AE157" s="34">
        <v>0.57999999999999996</v>
      </c>
      <c r="AF157" s="34">
        <v>0.57999999999999996</v>
      </c>
      <c r="AG157" s="35">
        <v>13102923</v>
      </c>
      <c r="AH157" s="36" t="s">
        <v>312</v>
      </c>
    </row>
    <row r="158" spans="1:37" ht="29" x14ac:dyDescent="0.35">
      <c r="A158" s="55" t="s">
        <v>309</v>
      </c>
      <c r="B158" s="30" t="s">
        <v>310</v>
      </c>
      <c r="C158" s="30" t="s">
        <v>349</v>
      </c>
      <c r="D158" s="60" t="s">
        <v>313</v>
      </c>
      <c r="E158" s="97" t="s">
        <v>350</v>
      </c>
      <c r="F158" s="60">
        <v>39260</v>
      </c>
      <c r="G158" s="2" t="s">
        <v>88</v>
      </c>
      <c r="H158" s="93" t="s">
        <v>351</v>
      </c>
      <c r="I158" s="32">
        <v>47520000</v>
      </c>
      <c r="J158" s="32">
        <v>5280000</v>
      </c>
      <c r="K158" s="3">
        <v>52800000</v>
      </c>
      <c r="L158" s="76" t="s">
        <v>84</v>
      </c>
      <c r="M158" s="54">
        <v>890401198</v>
      </c>
      <c r="N158" s="30" t="s">
        <v>91</v>
      </c>
      <c r="O158" s="30" t="s">
        <v>352</v>
      </c>
      <c r="P158" s="56" t="s">
        <v>317</v>
      </c>
      <c r="Q158" s="26">
        <f>384945203+430291748</f>
        <v>815236951</v>
      </c>
      <c r="R158" s="32">
        <f>+Tabla15132[[#This Row],[VALOR INICIAL DEL CONTRATO CON IVA]]+Tabla15132[[#This Row],[VALOR DE LAS ADICIONES CON IVA]]</f>
        <v>868036951</v>
      </c>
      <c r="S158" s="4">
        <f>+Tabla15132[[#This Row],[FECHA TERMINACIÓN INICIAL CONTRATO]]-Tabla15132[[#This Row],[FECHA INICIO CONTRATO]]</f>
        <v>187</v>
      </c>
      <c r="T158" s="56" t="s">
        <v>317</v>
      </c>
      <c r="U158" s="58">
        <f>+Tabla15132[[#This Row],[FECHA FINAL DEL CONTRATO]]-Tabla15132[[#This Row],[FECHA TERMINACIÓN INICIAL CONTRATO]]</f>
        <v>6575</v>
      </c>
      <c r="V158" s="59" t="s">
        <v>318</v>
      </c>
      <c r="W158" s="60">
        <v>39260</v>
      </c>
      <c r="X158" s="61">
        <v>39447</v>
      </c>
      <c r="Y158" s="61">
        <v>46022</v>
      </c>
      <c r="Z158" s="65" t="str">
        <f>+Tabla15132[[#This Row],[ÁREA QUE CONTRATA ]]</f>
        <v>Sucursal Cartagena</v>
      </c>
      <c r="AA158" s="55" t="s">
        <v>319</v>
      </c>
      <c r="AB158" s="60"/>
      <c r="AC158" s="56"/>
      <c r="AD158" s="56" t="s">
        <v>320</v>
      </c>
      <c r="AE158" s="34">
        <v>0.5</v>
      </c>
      <c r="AF158" s="34">
        <v>0.5</v>
      </c>
      <c r="AG158" s="35">
        <v>224439269.22</v>
      </c>
      <c r="AH158" s="36" t="s">
        <v>312</v>
      </c>
    </row>
    <row r="159" spans="1:37" ht="29" x14ac:dyDescent="0.35">
      <c r="A159" s="55" t="s">
        <v>309</v>
      </c>
      <c r="B159" s="30" t="s">
        <v>310</v>
      </c>
      <c r="C159" s="2" t="s">
        <v>321</v>
      </c>
      <c r="D159" s="60" t="s">
        <v>313</v>
      </c>
      <c r="E159" s="97" t="s">
        <v>347</v>
      </c>
      <c r="F159" s="60">
        <v>38980</v>
      </c>
      <c r="G159" s="2" t="s">
        <v>88</v>
      </c>
      <c r="H159" s="93" t="s">
        <v>348</v>
      </c>
      <c r="I159" s="32">
        <v>12605000</v>
      </c>
      <c r="J159" s="32">
        <v>2395000</v>
      </c>
      <c r="K159" s="3">
        <v>15000000</v>
      </c>
      <c r="L159" s="76" t="s">
        <v>96</v>
      </c>
      <c r="M159" s="54">
        <v>14206224</v>
      </c>
      <c r="N159" s="30"/>
      <c r="O159" s="30" t="s">
        <v>324</v>
      </c>
      <c r="P159" s="56" t="s">
        <v>317</v>
      </c>
      <c r="Q159" s="26">
        <v>408402593</v>
      </c>
      <c r="R159" s="32">
        <f>+Tabla15132[[#This Row],[VALOR INICIAL DEL CONTRATO CON IVA]]+Tabla15132[[#This Row],[VALOR DE LAS ADICIONES CON IVA]]</f>
        <v>423402593</v>
      </c>
      <c r="S159" s="4">
        <f>+Tabla15132[[#This Row],[FECHA TERMINACIÓN INICIAL CONTRATO]]-Tabla15132[[#This Row],[FECHA INICIO CONTRATO]]</f>
        <v>6940</v>
      </c>
      <c r="T159" s="56" t="s">
        <v>317</v>
      </c>
      <c r="U159" s="58">
        <f>+Tabla15132[[#This Row],[FECHA FINAL DEL CONTRATO]]-Tabla15132[[#This Row],[FECHA TERMINACIÓN INICIAL CONTRATO]]</f>
        <v>365</v>
      </c>
      <c r="V159" s="59" t="s">
        <v>318</v>
      </c>
      <c r="W159" s="60">
        <v>38980</v>
      </c>
      <c r="X159" s="61">
        <v>45920</v>
      </c>
      <c r="Y159" s="61">
        <v>46285</v>
      </c>
      <c r="Z159" s="62" t="str">
        <f>+Tabla15132[[#This Row],[ÁREA QUE CONTRATA ]]</f>
        <v>Sucursal Ibagué</v>
      </c>
      <c r="AA159" s="55" t="s">
        <v>319</v>
      </c>
      <c r="AB159" s="60"/>
      <c r="AC159" s="56"/>
      <c r="AD159" s="56" t="s">
        <v>325</v>
      </c>
      <c r="AE159" s="34">
        <v>1</v>
      </c>
      <c r="AF159" s="34">
        <v>1</v>
      </c>
      <c r="AG159" s="35">
        <v>49648832</v>
      </c>
      <c r="AH159" s="36" t="s">
        <v>312</v>
      </c>
    </row>
    <row r="160" spans="1:37" ht="29" x14ac:dyDescent="0.35">
      <c r="A160" s="55" t="s">
        <v>309</v>
      </c>
      <c r="B160" s="30" t="s">
        <v>310</v>
      </c>
      <c r="C160" s="30" t="s">
        <v>344</v>
      </c>
      <c r="D160" s="60" t="s">
        <v>313</v>
      </c>
      <c r="E160" s="97" t="s">
        <v>345</v>
      </c>
      <c r="F160" s="60">
        <v>38504</v>
      </c>
      <c r="G160" s="2" t="s">
        <v>88</v>
      </c>
      <c r="H160" s="93" t="s">
        <v>2391</v>
      </c>
      <c r="I160" s="32">
        <v>30000000</v>
      </c>
      <c r="J160" s="32">
        <v>3000000</v>
      </c>
      <c r="K160" s="3">
        <v>30000000</v>
      </c>
      <c r="L160" s="76" t="s">
        <v>84</v>
      </c>
      <c r="M160" s="54">
        <v>822000127</v>
      </c>
      <c r="N160" s="30" t="s">
        <v>123</v>
      </c>
      <c r="O160" s="30" t="s">
        <v>346</v>
      </c>
      <c r="P160" s="56" t="s">
        <v>317</v>
      </c>
      <c r="Q160" s="26">
        <v>1087390442</v>
      </c>
      <c r="R160" s="32">
        <f>+Tabla15132[[#This Row],[VALOR INICIAL DEL CONTRATO CON IVA]]+Tabla15132[[#This Row],[VALOR DE LAS ADICIONES CON IVA]]</f>
        <v>1117390442</v>
      </c>
      <c r="S160" s="4">
        <f>+Tabla15132[[#This Row],[FECHA TERMINACIÓN INICIAL CONTRATO]]-Tabla15132[[#This Row],[FECHA INICIO CONTRATO]]</f>
        <v>6939</v>
      </c>
      <c r="T160" s="56" t="s">
        <v>317</v>
      </c>
      <c r="U160" s="58">
        <f>+Tabla15132[[#This Row],[FECHA FINAL DEL CONTRATO]]-Tabla15132[[#This Row],[FECHA TERMINACIÓN INICIAL CONTRATO]]</f>
        <v>730</v>
      </c>
      <c r="V160" s="59" t="s">
        <v>318</v>
      </c>
      <c r="W160" s="60">
        <v>38504</v>
      </c>
      <c r="X160" s="61">
        <v>45443</v>
      </c>
      <c r="Y160" s="61">
        <v>46173</v>
      </c>
      <c r="Z160" s="62" t="str">
        <f>+Tabla15132[[#This Row],[ÁREA QUE CONTRATA ]]</f>
        <v>Sucursal Villavicencio</v>
      </c>
      <c r="AA160" s="55" t="s">
        <v>319</v>
      </c>
      <c r="AB160" s="60"/>
      <c r="AC160" s="56"/>
      <c r="AD160" s="56" t="s">
        <v>320</v>
      </c>
      <c r="AE160" s="34">
        <v>0.25</v>
      </c>
      <c r="AF160" s="34">
        <v>0.25</v>
      </c>
      <c r="AG160" s="153">
        <v>21664545</v>
      </c>
      <c r="AH160" s="36" t="s">
        <v>312</v>
      </c>
    </row>
    <row r="161" spans="1:34" ht="58" customHeight="1" x14ac:dyDescent="0.35">
      <c r="A161" s="55" t="s">
        <v>309</v>
      </c>
      <c r="B161" s="30" t="s">
        <v>310</v>
      </c>
      <c r="C161" s="30" t="s">
        <v>341</v>
      </c>
      <c r="D161" s="60" t="s">
        <v>313</v>
      </c>
      <c r="E161" s="97" t="s">
        <v>2392</v>
      </c>
      <c r="F161" s="60">
        <v>40878</v>
      </c>
      <c r="G161" s="2" t="s">
        <v>88</v>
      </c>
      <c r="H161" s="57" t="s">
        <v>342</v>
      </c>
      <c r="I161" s="3">
        <v>93783924</v>
      </c>
      <c r="J161" s="32">
        <v>0</v>
      </c>
      <c r="K161" s="3">
        <v>111602270</v>
      </c>
      <c r="L161" s="76" t="s">
        <v>96</v>
      </c>
      <c r="M161" s="54">
        <v>92122251502</v>
      </c>
      <c r="N161" s="30"/>
      <c r="O161" s="30" t="s">
        <v>343</v>
      </c>
      <c r="P161" s="56" t="s">
        <v>317</v>
      </c>
      <c r="Q161" s="26">
        <f>97077582+106086378</f>
        <v>203163960</v>
      </c>
      <c r="R161" s="32">
        <f>+Tabla15132[[#This Row],[VALOR INICIAL DEL CONTRATO CON IVA]]+Tabla15132[[#This Row],[VALOR DE LAS ADICIONES CON IVA]]</f>
        <v>314766230</v>
      </c>
      <c r="S161" s="4">
        <f>+Tabla15132[[#This Row],[FECHA TERMINACIÓN INICIAL CONTRATO]]-Tabla15132[[#This Row],[FECHA INICIO CONTRATO]]</f>
        <v>365</v>
      </c>
      <c r="T161" s="56" t="s">
        <v>317</v>
      </c>
      <c r="U161" s="58">
        <f>+Tabla15132[[#This Row],[FECHA FINAL DEL CONTRATO]]-Tabla15132[[#This Row],[FECHA TERMINACIÓN INICIAL CONTRATO]]</f>
        <v>4748</v>
      </c>
      <c r="V161" s="59" t="s">
        <v>318</v>
      </c>
      <c r="W161" s="60">
        <v>40909</v>
      </c>
      <c r="X161" s="61">
        <v>41274</v>
      </c>
      <c r="Y161" s="61">
        <v>46022</v>
      </c>
      <c r="Z161" s="62" t="str">
        <f>+Tabla15132[[#This Row],[ÁREA QUE CONTRATA ]]</f>
        <v>Sucursal Pereira</v>
      </c>
      <c r="AA161" s="55" t="s">
        <v>319</v>
      </c>
      <c r="AB161" s="60"/>
      <c r="AC161" s="56"/>
      <c r="AD161" s="56" t="s">
        <v>320</v>
      </c>
      <c r="AE161" s="34">
        <v>0.5</v>
      </c>
      <c r="AF161" s="34">
        <v>0.5</v>
      </c>
      <c r="AG161" s="35">
        <v>55801434</v>
      </c>
      <c r="AH161" s="36" t="s">
        <v>312</v>
      </c>
    </row>
    <row r="162" spans="1:34" ht="47.5" customHeight="1" x14ac:dyDescent="0.35">
      <c r="A162" s="55" t="s">
        <v>309</v>
      </c>
      <c r="B162" s="30" t="s">
        <v>310</v>
      </c>
      <c r="C162" s="2" t="s">
        <v>1976</v>
      </c>
      <c r="D162" s="60" t="s">
        <v>313</v>
      </c>
      <c r="E162" s="97" t="s">
        <v>338</v>
      </c>
      <c r="F162" s="60">
        <v>36892</v>
      </c>
      <c r="G162" s="2" t="s">
        <v>88</v>
      </c>
      <c r="H162" s="93" t="s">
        <v>339</v>
      </c>
      <c r="I162" s="32">
        <v>900834</v>
      </c>
      <c r="J162" s="32">
        <v>171159</v>
      </c>
      <c r="K162" s="3">
        <v>1071993</v>
      </c>
      <c r="L162" s="76" t="s">
        <v>96</v>
      </c>
      <c r="M162" s="54">
        <v>10544299</v>
      </c>
      <c r="N162" s="30"/>
      <c r="O162" s="30" t="s">
        <v>340</v>
      </c>
      <c r="P162" s="56" t="s">
        <v>317</v>
      </c>
      <c r="Q162" s="26">
        <v>94248000</v>
      </c>
      <c r="R162" s="32">
        <f>+Tabla15132[[#This Row],[VALOR INICIAL DEL CONTRATO CON IVA]]+Tabla15132[[#This Row],[VALOR DE LAS ADICIONES CON IVA]]</f>
        <v>95319993</v>
      </c>
      <c r="S162" s="4">
        <f>+Tabla15132[[#This Row],[FECHA TERMINACIÓN INICIAL CONTRATO]]-Tabla15132[[#This Row],[FECHA INICIO CONTRATO]]</f>
        <v>364</v>
      </c>
      <c r="T162" s="56" t="s">
        <v>317</v>
      </c>
      <c r="U162" s="58">
        <f>+Tabla15132[[#This Row],[FECHA FINAL DEL CONTRATO]]-Tabla15132[[#This Row],[FECHA TERMINACIÓN INICIAL CONTRATO]]</f>
        <v>8766</v>
      </c>
      <c r="V162" s="59" t="s">
        <v>318</v>
      </c>
      <c r="W162" s="60">
        <v>36892</v>
      </c>
      <c r="X162" s="61">
        <v>37256</v>
      </c>
      <c r="Y162" s="61">
        <v>46022</v>
      </c>
      <c r="Z162" s="62" t="str">
        <f>+Tabla15132[[#This Row],[ÁREA QUE CONTRATA ]]</f>
        <v>Sucursal Popayan</v>
      </c>
      <c r="AA162" s="55" t="s">
        <v>319</v>
      </c>
      <c r="AB162" s="60"/>
      <c r="AC162" s="56"/>
      <c r="AD162" s="56" t="s">
        <v>320</v>
      </c>
      <c r="AE162" s="89">
        <v>0.75</v>
      </c>
      <c r="AF162" s="34">
        <v>0.75</v>
      </c>
      <c r="AG162" s="35">
        <v>70686000</v>
      </c>
      <c r="AH162" s="36" t="s">
        <v>312</v>
      </c>
    </row>
    <row r="163" spans="1:34" ht="29" x14ac:dyDescent="0.35">
      <c r="A163" s="55" t="s">
        <v>309</v>
      </c>
      <c r="B163" s="30" t="s">
        <v>310</v>
      </c>
      <c r="C163" s="2" t="s">
        <v>326</v>
      </c>
      <c r="D163" s="60" t="s">
        <v>313</v>
      </c>
      <c r="E163" s="97" t="s">
        <v>327</v>
      </c>
      <c r="F163" s="60">
        <v>36000</v>
      </c>
      <c r="G163" s="2" t="s">
        <v>88</v>
      </c>
      <c r="H163" s="93" t="s">
        <v>328</v>
      </c>
      <c r="I163" s="32">
        <v>87079345</v>
      </c>
      <c r="J163" s="32">
        <v>16545075</v>
      </c>
      <c r="K163" s="3">
        <v>103624420</v>
      </c>
      <c r="L163" s="76" t="s">
        <v>84</v>
      </c>
      <c r="M163" s="54">
        <v>891001109</v>
      </c>
      <c r="N163" s="30" t="s">
        <v>91</v>
      </c>
      <c r="O163" s="30" t="s">
        <v>329</v>
      </c>
      <c r="P163" s="56" t="s">
        <v>317</v>
      </c>
      <c r="Q163" s="26">
        <v>113240766</v>
      </c>
      <c r="R163" s="32">
        <f>+Tabla15132[[#This Row],[VALOR INICIAL DEL CONTRATO CON IVA]]+Tabla15132[[#This Row],[VALOR DE LAS ADICIONES CON IVA]]</f>
        <v>216865186</v>
      </c>
      <c r="S163" s="4">
        <f>+Tabla15132[[#This Row],[FECHA TERMINACIÓN INICIAL CONTRATO]]-Tabla15132[[#This Row],[FECHA INICIO CONTRATO]]</f>
        <v>9496</v>
      </c>
      <c r="T163" s="56" t="s">
        <v>317</v>
      </c>
      <c r="U163" s="58">
        <f>+Tabla15132[[#This Row],[FECHA FINAL DEL CONTRATO]]-Tabla15132[[#This Row],[FECHA TERMINACIÓN INICIAL CONTRATO]]</f>
        <v>730</v>
      </c>
      <c r="V163" s="59" t="s">
        <v>318</v>
      </c>
      <c r="W163" s="60">
        <v>35977</v>
      </c>
      <c r="X163" s="61">
        <v>45473</v>
      </c>
      <c r="Y163" s="61">
        <v>46203</v>
      </c>
      <c r="Z163" s="62" t="str">
        <f>+Tabla15132[[#This Row],[ÁREA QUE CONTRATA ]]</f>
        <v>Sucursal Monteria</v>
      </c>
      <c r="AA163" s="55" t="s">
        <v>319</v>
      </c>
      <c r="AB163" s="60"/>
      <c r="AC163" s="56"/>
      <c r="AD163" s="56" t="s">
        <v>320</v>
      </c>
      <c r="AE163" s="34">
        <v>1</v>
      </c>
      <c r="AF163" s="34">
        <v>1</v>
      </c>
      <c r="AG163" s="35">
        <v>95160308</v>
      </c>
      <c r="AH163" s="36" t="s">
        <v>312</v>
      </c>
    </row>
    <row r="164" spans="1:34" ht="44.5" customHeight="1" x14ac:dyDescent="0.35">
      <c r="A164" s="55" t="s">
        <v>309</v>
      </c>
      <c r="B164" s="30" t="s">
        <v>310</v>
      </c>
      <c r="C164" s="30" t="s">
        <v>311</v>
      </c>
      <c r="D164" s="60" t="s">
        <v>313</v>
      </c>
      <c r="E164" s="97" t="s">
        <v>314</v>
      </c>
      <c r="F164" s="60">
        <v>35674</v>
      </c>
      <c r="G164" s="2" t="s">
        <v>88</v>
      </c>
      <c r="H164" s="93" t="s">
        <v>315</v>
      </c>
      <c r="I164" s="32">
        <v>4158110</v>
      </c>
      <c r="J164" s="32">
        <v>0</v>
      </c>
      <c r="K164" s="3">
        <v>3982377</v>
      </c>
      <c r="L164" s="76" t="s">
        <v>96</v>
      </c>
      <c r="M164" s="54">
        <v>51973011</v>
      </c>
      <c r="N164" s="30"/>
      <c r="O164" s="30" t="s">
        <v>316</v>
      </c>
      <c r="P164" s="56" t="s">
        <v>318</v>
      </c>
      <c r="Q164" s="26">
        <v>0</v>
      </c>
      <c r="R164" s="32">
        <f>+Tabla15132[[#This Row],[VALOR INICIAL DEL CONTRATO CON IVA]]*12</f>
        <v>47788524</v>
      </c>
      <c r="S164" s="4">
        <f>+Tabla15132[[#This Row],[FECHA TERMINACIÓN INICIAL CONTRATO]]-Tabla15132[[#This Row],[FECHA INICIO CONTRATO]]</f>
        <v>9862</v>
      </c>
      <c r="T164" s="56" t="s">
        <v>317</v>
      </c>
      <c r="U164" s="58">
        <f>+Tabla15132[[#This Row],[FECHA FINAL DEL CONTRATO]]-Tabla15132[[#This Row],[FECHA TERMINACIÓN INICIAL CONTRATO]]</f>
        <v>730</v>
      </c>
      <c r="V164" s="59" t="s">
        <v>318</v>
      </c>
      <c r="W164" s="60">
        <v>35674</v>
      </c>
      <c r="X164" s="61">
        <v>45536</v>
      </c>
      <c r="Y164" s="61">
        <v>46266</v>
      </c>
      <c r="Z164" s="62" t="str">
        <f>+Tabla15132[[#This Row],[ÁREA QUE CONTRATA ]]</f>
        <v>Sucursal Arauca</v>
      </c>
      <c r="AA164" s="55" t="s">
        <v>319</v>
      </c>
      <c r="AB164" s="60"/>
      <c r="AC164" s="56"/>
      <c r="AD164" s="56" t="s">
        <v>320</v>
      </c>
      <c r="AE164" s="34">
        <v>1</v>
      </c>
      <c r="AF164" s="34">
        <v>1</v>
      </c>
      <c r="AG164" s="32">
        <f>+Tabla15132[[#This Row],[VALOR TOTAL DEL CONTRATO CON IVA (VALOR INICIAL + ADICIONES) ]]</f>
        <v>47788524</v>
      </c>
      <c r="AH164" s="36" t="s">
        <v>312</v>
      </c>
    </row>
    <row r="165" spans="1:34" ht="29" x14ac:dyDescent="0.35">
      <c r="A165" s="55" t="s">
        <v>309</v>
      </c>
      <c r="B165" s="30" t="s">
        <v>310</v>
      </c>
      <c r="C165" s="2" t="s">
        <v>321</v>
      </c>
      <c r="D165" s="60" t="s">
        <v>313</v>
      </c>
      <c r="E165" s="97" t="s">
        <v>322</v>
      </c>
      <c r="F165" s="60">
        <v>35749</v>
      </c>
      <c r="G165" s="2" t="s">
        <v>88</v>
      </c>
      <c r="H165" s="93" t="s">
        <v>323</v>
      </c>
      <c r="I165" s="32">
        <v>15126000</v>
      </c>
      <c r="J165" s="32">
        <v>2874000</v>
      </c>
      <c r="K165" s="3">
        <v>18000000</v>
      </c>
      <c r="L165" s="76" t="s">
        <v>96</v>
      </c>
      <c r="M165" s="54">
        <v>14206224</v>
      </c>
      <c r="N165" s="30"/>
      <c r="O165" s="30" t="s">
        <v>324</v>
      </c>
      <c r="P165" s="56" t="s">
        <v>317</v>
      </c>
      <c r="Q165" s="26">
        <v>551796174</v>
      </c>
      <c r="R165" s="32">
        <f>+Tabla15132[[#This Row],[VALOR INICIAL DEL CONTRATO CON IVA]]+Tabla15132[[#This Row],[VALOR DE LAS ADICIONES CON IVA]]</f>
        <v>569796174</v>
      </c>
      <c r="S165" s="4">
        <f>+Tabla15132[[#This Row],[FECHA TERMINACIÓN INICIAL CONTRATO]]-Tabla15132[[#This Row],[FECHA INICIO CONTRATO]]</f>
        <v>9862</v>
      </c>
      <c r="T165" s="56" t="s">
        <v>317</v>
      </c>
      <c r="U165" s="58">
        <f>+Tabla15132[[#This Row],[FECHA FINAL DEL CONTRATO]]-Tabla15132[[#This Row],[FECHA TERMINACIÓN INICIAL CONTRATO]]</f>
        <v>365</v>
      </c>
      <c r="V165" s="59" t="s">
        <v>318</v>
      </c>
      <c r="W165" s="60">
        <v>35749</v>
      </c>
      <c r="X165" s="61">
        <v>45611</v>
      </c>
      <c r="Y165" s="61">
        <v>45976</v>
      </c>
      <c r="Z165" s="62" t="str">
        <f>+Tabla15132[[#This Row],[ÁREA QUE CONTRATA ]]</f>
        <v>Sucursal Ibagué</v>
      </c>
      <c r="AA165" s="55" t="s">
        <v>319</v>
      </c>
      <c r="AB165" s="60"/>
      <c r="AC165" s="56"/>
      <c r="AD165" s="56" t="s">
        <v>320</v>
      </c>
      <c r="AE165" s="34">
        <v>0.92</v>
      </c>
      <c r="AF165" s="34">
        <v>0.92</v>
      </c>
      <c r="AG165" s="35">
        <v>75216180</v>
      </c>
      <c r="AH165" s="36" t="s">
        <v>312</v>
      </c>
    </row>
    <row r="166" spans="1:34" ht="25" customHeight="1" x14ac:dyDescent="0.35">
      <c r="A166" s="28">
        <f>SUBTOTAL(103,Tabla15132[CM / SUC.])</f>
        <v>156</v>
      </c>
      <c r="B166" s="28">
        <f>SUBTOTAL(103,Tabla15132[VICEPRESIDENCIA])</f>
        <v>156</v>
      </c>
      <c r="C166" s="28">
        <f>SUBTOTAL(103,Tabla15132[[ÁREA QUE CONTRATA ]])</f>
        <v>164</v>
      </c>
      <c r="D166" s="28">
        <f>SUBTOTAL(103,Tabla15132[MODALIDAD CONTRATACIÓN])</f>
        <v>164</v>
      </c>
      <c r="E166" s="28">
        <f>SUBTOTAL(103,Tabla15132[NÚMERO DE CONTRATO])</f>
        <v>164</v>
      </c>
      <c r="F166" s="28">
        <f>SUBTOTAL(103,Tabla15132[FECHA SUSCRIPCIÓN CONTRATO])</f>
        <v>164</v>
      </c>
      <c r="G166" s="28">
        <f>SUBTOTAL(103,Tabla15132[CLASE DE CONTRATO])</f>
        <v>164</v>
      </c>
      <c r="H166" s="28">
        <f>SUBTOTAL(103,Tabla15132[OBJETO DEL CONTRATO])</f>
        <v>164</v>
      </c>
      <c r="I166" s="29">
        <f>SUBTOTAL(109,Tabla15132[VALOR INICIAL DEL CONTRATO
SIN IVA
 (en pesos) ])</f>
        <v>3879128567.487</v>
      </c>
      <c r="J166" s="29">
        <f>SUBTOTAL(109,Tabla15132[VALOR IVA
(SI APLICA)])</f>
        <v>514542578.51249999</v>
      </c>
      <c r="K166" s="29">
        <f>SUBTOTAL(109,Tabla15132[VALOR INICIAL DEL CONTRATO CON IVA])</f>
        <v>4408313754</v>
      </c>
      <c r="L166" s="28">
        <f>SUBTOTAL(103,Tabla15132[TIPO DE IDENTIFICACIÓN CONTRATISTA])</f>
        <v>164</v>
      </c>
      <c r="M166" s="28">
        <f>SUBTOTAL(103,Tabla15132[NÚMERO IDENTIFICACIÓN])</f>
        <v>164</v>
      </c>
      <c r="N166" s="28">
        <f>SUBTOTAL(103,Tabla15132[CONTRATISTA: DÍGITO DE VERIFICACIÓN (NIT o RUT) ])</f>
        <v>103</v>
      </c>
      <c r="O166" s="28">
        <f>SUBTOTAL(103,Tabla15132[NOMBRE / RAZÓN SOCIAL DEL CONTRATISTA])</f>
        <v>164</v>
      </c>
      <c r="P166" s="28">
        <f>SUBTOTAL(103,Tabla15132[ADICIONES
(SI / NO)])</f>
        <v>164</v>
      </c>
      <c r="Q166" s="29">
        <f>SUBTOTAL(109,Tabla15132[VALOR DE LAS ADICIONES CON IVA])</f>
        <v>10720886987</v>
      </c>
      <c r="R166" s="29">
        <f>SUBTOTAL(109,Tabla15132[VALOR TOTAL DEL CONTRATO CON IVA (VALOR INICIAL + ADICIONES) ])</f>
        <v>15173006888</v>
      </c>
      <c r="S166" s="28">
        <f>SUBTOTAL(103,Tabla15132[PLAZO DEL CONTRATO (inicial)
(días)])</f>
        <v>164</v>
      </c>
      <c r="T166" s="28">
        <f>SUBTOTAL(103,Tabla15132[PRÓRROGA
(SI / NO)])</f>
        <v>164</v>
      </c>
      <c r="U166" s="28">
        <f>SUBTOTAL(103,Tabla15132[ADICIONES: NÚMERO DE DÍAS])</f>
        <v>17</v>
      </c>
      <c r="V166" s="28">
        <f>SUBTOTAL(103,Tabla15132[SUSPENSIÓN (SI/NO)])</f>
        <v>163</v>
      </c>
      <c r="W166" s="28">
        <f>SUBTOTAL(103,Tabla15132[FECHA INICIO CONTRATO])</f>
        <v>164</v>
      </c>
      <c r="X166" s="28">
        <f>SUBTOTAL(103,Tabla15132[FECHA TERMINACIÓN INICIAL CONTRATO])</f>
        <v>164</v>
      </c>
      <c r="Y166" s="28">
        <f>SUBTOTAL(103,Tabla15132[FECHA FINAL DEL CONTRATO])</f>
        <v>164</v>
      </c>
      <c r="Z166" s="28">
        <f>SUBTOTAL(103,Tabla15132[DEPENDENCIA INTERVENTOR O SUPERVISOR])</f>
        <v>164</v>
      </c>
      <c r="AA166" s="28">
        <f>SUBTOTAL(103,Tabla15132[ESTADO DEL CONTRATO (EN EJECUCIÓN EN LIQUIDACIÓN POR LIQUIDAR NO SE LIQUIDA)])</f>
        <v>164</v>
      </c>
      <c r="AB166" s="28">
        <f>SUBTOTAL(103,Tabla15132[FECHA LIQUIDACIÓN DEL CONTRATO])</f>
        <v>0</v>
      </c>
      <c r="AC166" s="28">
        <f>SUBTOTAL(103,Tabla15132[CAUSAL DE TERMINACIÓN])</f>
        <v>0</v>
      </c>
      <c r="AD166" s="28">
        <f>SUBTOTAL(103,Tabla15132[RUBRO PRESUPUESTAL ASIGADO (SEPARAR CADA RUBRO CON ("/")])</f>
        <v>164</v>
      </c>
      <c r="AE166" s="28">
        <f>SUBTOTAL(103,Tabla15132[PORCENTAJE DE EJECUCIÓN FÍSICA])</f>
        <v>129</v>
      </c>
      <c r="AF166" s="28">
        <f>SUBTOTAL(103,Tabla15132[PORCENTAJE DE EJECUCIÓN PRESUPUESTAL 
])</f>
        <v>128</v>
      </c>
      <c r="AG166" s="29">
        <f>SUBTOTAL(109,Tabla15132[VALOR PAGADO (EN PESOS)
(TOTAL VR. FACTURAS)])</f>
        <v>4960741727.8600006</v>
      </c>
      <c r="AH166" s="28">
        <f>SUBTOTAL(103,Tabla15132[LINK CONSULTA SECOP I II 
(SEGÚN APLIQUE)])</f>
        <v>156</v>
      </c>
    </row>
    <row r="167" spans="1:34" x14ac:dyDescent="0.35">
      <c r="A167" s="30"/>
      <c r="B167" s="30"/>
      <c r="C167" s="30"/>
      <c r="D167" s="30"/>
      <c r="E167" s="30"/>
      <c r="F167" s="30"/>
      <c r="G167" s="30"/>
      <c r="H167" s="32"/>
      <c r="I167" s="32"/>
      <c r="J167" s="46"/>
      <c r="K167" s="32"/>
      <c r="L167" s="30"/>
      <c r="M167" s="30"/>
      <c r="N167" s="30"/>
      <c r="O167" s="32"/>
      <c r="P167" s="32"/>
      <c r="Q167" s="32"/>
      <c r="R167" s="32"/>
      <c r="S167" s="30"/>
      <c r="T167" s="30"/>
      <c r="U167" s="30"/>
      <c r="V167" s="30"/>
      <c r="W167" s="30"/>
      <c r="X167" s="30"/>
      <c r="Y167" s="30"/>
      <c r="Z167" s="54"/>
      <c r="AA167" s="50"/>
      <c r="AB167" s="50"/>
      <c r="AC167" s="50"/>
      <c r="AD167" s="50"/>
      <c r="AE167" s="51"/>
      <c r="AF167" s="49"/>
      <c r="AG167" s="30"/>
      <c r="AH167" s="30"/>
    </row>
    <row r="168" spans="1:34" x14ac:dyDescent="0.35">
      <c r="J168" s="46"/>
    </row>
  </sheetData>
  <sheetProtection autoFilter="0"/>
  <protectedRanges>
    <protectedRange sqref="G2:G17 G21:G112 G114:G165" name="Rango1"/>
    <protectedRange sqref="Z9" name="Rango1_2_1"/>
  </protectedRanges>
  <conditionalFormatting sqref="A113">
    <cfRule type="containsText" dxfId="47" priority="1" operator="containsText" text="Faltan menos de 15 días para Terminar">
      <formula>NOT(ISERROR(SEARCH("Faltan menos de 15 días para Terminar",A113)))</formula>
    </cfRule>
    <cfRule type="containsText" dxfId="46" priority="2" operator="containsText" text="Faltan menos de 15 días para Terminar">
      <formula>NOT(ISERROR(SEARCH("Faltan menos de 15 días para Terminar",A113)))</formula>
    </cfRule>
    <cfRule type="containsText" dxfId="45" priority="3" operator="containsText" text="Terminado">
      <formula>NOT(ISERROR(SEARCH("Terminado",A113)))</formula>
    </cfRule>
    <cfRule type="containsText" dxfId="44" priority="4" operator="containsText" text="Faltan menos de 15 días para Terminar">
      <formula>NOT(ISERROR(SEARCH("Faltan menos de 15 días para Terminar",A113)))</formula>
    </cfRule>
    <cfRule type="containsText" dxfId="43" priority="5" operator="containsText" text="Faltan menos de 30 días para Terminar">
      <formula>NOT(ISERROR(SEARCH("Faltan menos de 30 días para Terminar",A113)))</formula>
    </cfRule>
    <cfRule type="containsText" dxfId="42" priority="6" operator="containsText" text="Faltan menos de 30 días para Terminar">
      <formula>NOT(ISERROR(SEARCH("Faltan menos de 30 días para Terminar",A113)))</formula>
    </cfRule>
  </conditionalFormatting>
  <dataValidations count="9">
    <dataValidation type="list" allowBlank="1" showInputMessage="1" showErrorMessage="1" sqref="AA2:AA165" xr:uid="{36B0E13B-0B6E-4D15-B1F4-45BAEA90D564}">
      <formula1>"En ejecución, Finalizado, En Liquidación, Liquidado, Por Liquidar,No se Liquida"</formula1>
    </dataValidation>
    <dataValidation type="list" allowBlank="1" showInputMessage="1" showErrorMessage="1" sqref="A2:A165" xr:uid="{3625D236-C1B7-4F25-808B-8D25F357D6BA}">
      <formula1>"Casa Matriz, Sucursal"</formula1>
    </dataValidation>
    <dataValidation type="list" allowBlank="1" showInputMessage="1" showErrorMessage="1" sqref="B2:B165" xr:uid="{EE5F2399-C34A-450D-A80D-F60C8BCA5A87}">
      <formula1>"Presidencia_, Secretaría_General, Vicepresidencia_Comercial, Vicepresidencia_Desarrollo_Corporativo, Vicepresidencia_Financiera, Vicepresidencia_De_Indemnizaciones,Vicepresidencia_Jurídica,Vicepresidencia_Técnica"</formula1>
    </dataValidation>
    <dataValidation type="list" allowBlank="1" showInputMessage="1" showErrorMessage="1" sqref="P2:P165 V19:V165 T2:T165" xr:uid="{C2102C63-5E80-4D45-9637-51CADF196F9B}">
      <formula1>"SI, NO"</formula1>
    </dataValidation>
    <dataValidation type="list" allowBlank="1" showInputMessage="1" showErrorMessage="1" sqref="D22:D165" xr:uid="{A6C577A7-36AA-4B1D-B0B7-1D8ECDB30690}">
      <formula1>"SIMPLIFICADA, INVITACIÓN ABIERTA, INVITACIÓN CERRADA, INVITACIÓN DIRECTA,CONTRATACIÓN DIRECTA"</formula1>
    </dataValidation>
    <dataValidation type="list" allowBlank="1" showInputMessage="1" showErrorMessage="1" sqref="D2:D21" xr:uid="{B493FEDE-CB8A-4244-B700-75E7B2FC5328}">
      <formula1>"ACEPTACIÓN DE OFERTA, INVITACIÓN ABIERTA, INVITACIÓN CERRADA, INVITACIÓN DIRECTA,SIMPLIFICADA"</formula1>
    </dataValidation>
    <dataValidation type="whole" allowBlank="1" showInputMessage="1" showErrorMessage="1" sqref="M69 M26:M51" xr:uid="{B5F3C352-2CDE-442E-BB89-1CB8D5AE5E28}">
      <formula1>0</formula1>
      <formula2>10000000000000</formula2>
    </dataValidation>
    <dataValidation type="whole" allowBlank="1" showInputMessage="1" showErrorMessage="1" sqref="K45" xr:uid="{D651DEB7-FEA6-4E82-89B4-8D192234206C}">
      <formula1>1</formula1>
      <formula2>70000000</formula2>
    </dataValidation>
    <dataValidation type="whole" allowBlank="1" showInputMessage="1" showErrorMessage="1" sqref="I32 K26:K29 K46:K48 K31:K44 K69 K50:K51" xr:uid="{1A274F08-4663-47A2-9A0C-4CD955CC3D0D}">
      <formula1>1</formula1>
      <formula2>58000000</formula2>
    </dataValidation>
  </dataValidations>
  <hyperlinks>
    <hyperlink ref="AH67" r:id="rId1" display="https://community.secop.gov.co/Public/Tendering/ContractNoticePhases/View?PPI=CO1.PPI.40913169&amp;isFromPublicArea=True&amp;isModal=False_x000a__x000a_" xr:uid="{9D457F27-1B08-47E0-A3F6-4E2CA88CF360}"/>
    <hyperlink ref="AH89" r:id="rId2" display="https://community.secop.gov.co/Public/Tendering/ContractNoticePhases/View?PPI=CO1.PPI.41322528&amp;isFromPublicArea=True&amp;isModal=False_x000a_" xr:uid="{0DF91A05-B996-498B-A179-6A2EDB6C2C51}"/>
  </hyperlinks>
  <pageMargins left="0.51181102362204722" right="0.51181102362204722" top="0.74803149606299213" bottom="0.74803149606299213" header="0.31496062992125984" footer="0.31496062992125984"/>
  <pageSetup scale="90" orientation="landscape" r:id="rId3"/>
  <headerFooter>
    <oddFooter>&amp;C_x000D_&amp;1#&amp;"Calibri"&amp;10&amp;K000000 DOCUMENTO DE USO INTERNO</oddFooter>
  </headerFooter>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4CD9F-4215-4307-B0B9-1AF1CBB95810}">
  <sheetPr codeName="Hoja3"/>
  <dimension ref="A1:E30"/>
  <sheetViews>
    <sheetView zoomScale="60" zoomScaleNormal="60" workbookViewId="0">
      <selection activeCell="A17" sqref="A17"/>
    </sheetView>
  </sheetViews>
  <sheetFormatPr baseColWidth="10" defaultColWidth="11.453125" defaultRowHeight="14.5" x14ac:dyDescent="0.35"/>
  <cols>
    <col min="1" max="1" width="50.1796875" bestFit="1" customWidth="1"/>
    <col min="2" max="2" width="56.453125" customWidth="1"/>
    <col min="3" max="3" width="64.453125" customWidth="1"/>
    <col min="4" max="4" width="23.81640625" customWidth="1"/>
    <col min="5" max="5" width="44.453125" bestFit="1" customWidth="1"/>
  </cols>
  <sheetData>
    <row r="1" spans="1:5" x14ac:dyDescent="0.35">
      <c r="A1" t="s">
        <v>82</v>
      </c>
      <c r="B1" t="s">
        <v>83</v>
      </c>
      <c r="C1" t="s">
        <v>84</v>
      </c>
      <c r="D1" t="s">
        <v>85</v>
      </c>
      <c r="E1" t="s">
        <v>86</v>
      </c>
    </row>
    <row r="2" spans="1:5" x14ac:dyDescent="0.35">
      <c r="A2" t="s">
        <v>88</v>
      </c>
      <c r="B2" t="s">
        <v>89</v>
      </c>
      <c r="C2" t="s">
        <v>90</v>
      </c>
      <c r="D2" t="s">
        <v>91</v>
      </c>
      <c r="E2" t="s">
        <v>92</v>
      </c>
    </row>
    <row r="3" spans="1:5" x14ac:dyDescent="0.35">
      <c r="A3" t="s">
        <v>94</v>
      </c>
      <c r="B3" t="s">
        <v>95</v>
      </c>
      <c r="C3" t="s">
        <v>96</v>
      </c>
      <c r="D3" t="s">
        <v>97</v>
      </c>
      <c r="E3" t="s">
        <v>98</v>
      </c>
    </row>
    <row r="4" spans="1:5" x14ac:dyDescent="0.35">
      <c r="A4" t="s">
        <v>100</v>
      </c>
      <c r="B4" t="s">
        <v>101</v>
      </c>
      <c r="C4" t="s">
        <v>102</v>
      </c>
      <c r="D4" t="s">
        <v>103</v>
      </c>
      <c r="E4" t="s">
        <v>104</v>
      </c>
    </row>
    <row r="5" spans="1:5" x14ac:dyDescent="0.35">
      <c r="A5" t="s">
        <v>106</v>
      </c>
      <c r="C5" t="s">
        <v>107</v>
      </c>
      <c r="D5" t="s">
        <v>108</v>
      </c>
    </row>
    <row r="6" spans="1:5" x14ac:dyDescent="0.35">
      <c r="A6" t="s">
        <v>110</v>
      </c>
      <c r="D6" t="s">
        <v>111</v>
      </c>
    </row>
    <row r="7" spans="1:5" x14ac:dyDescent="0.35">
      <c r="A7" t="s">
        <v>113</v>
      </c>
      <c r="D7" t="s">
        <v>114</v>
      </c>
    </row>
    <row r="8" spans="1:5" x14ac:dyDescent="0.35">
      <c r="A8" t="s">
        <v>116</v>
      </c>
      <c r="D8" t="s">
        <v>117</v>
      </c>
    </row>
    <row r="9" spans="1:5" x14ac:dyDescent="0.35">
      <c r="A9" t="s">
        <v>119</v>
      </c>
      <c r="D9" t="s">
        <v>120</v>
      </c>
    </row>
    <row r="10" spans="1:5" x14ac:dyDescent="0.35">
      <c r="A10" t="s">
        <v>122</v>
      </c>
      <c r="D10" t="s">
        <v>123</v>
      </c>
    </row>
    <row r="11" spans="1:5" x14ac:dyDescent="0.35">
      <c r="A11" t="s">
        <v>125</v>
      </c>
      <c r="D11" t="s">
        <v>126</v>
      </c>
    </row>
    <row r="12" spans="1:5" x14ac:dyDescent="0.35">
      <c r="A12" t="s">
        <v>128</v>
      </c>
    </row>
    <row r="13" spans="1:5" x14ac:dyDescent="0.35">
      <c r="A13" t="s">
        <v>130</v>
      </c>
    </row>
    <row r="14" spans="1:5" x14ac:dyDescent="0.35">
      <c r="A14" t="s">
        <v>132</v>
      </c>
    </row>
    <row r="15" spans="1:5" x14ac:dyDescent="0.35">
      <c r="A15" t="s">
        <v>134</v>
      </c>
    </row>
    <row r="16" spans="1:5" x14ac:dyDescent="0.35">
      <c r="A16" t="s">
        <v>136</v>
      </c>
    </row>
    <row r="17" spans="1:1" x14ac:dyDescent="0.35">
      <c r="A17" t="s">
        <v>138</v>
      </c>
    </row>
    <row r="18" spans="1:1" x14ac:dyDescent="0.35">
      <c r="A18" t="s">
        <v>140</v>
      </c>
    </row>
    <row r="19" spans="1:1" x14ac:dyDescent="0.35">
      <c r="A19" t="s">
        <v>142</v>
      </c>
    </row>
    <row r="20" spans="1:1" x14ac:dyDescent="0.35">
      <c r="A20" t="s">
        <v>144</v>
      </c>
    </row>
    <row r="21" spans="1:1" x14ac:dyDescent="0.35">
      <c r="A21" t="s">
        <v>146</v>
      </c>
    </row>
    <row r="22" spans="1:1" x14ac:dyDescent="0.35">
      <c r="A22" t="s">
        <v>148</v>
      </c>
    </row>
    <row r="23" spans="1:1" x14ac:dyDescent="0.35">
      <c r="A23" t="s">
        <v>150</v>
      </c>
    </row>
    <row r="24" spans="1:1" x14ac:dyDescent="0.35">
      <c r="A24" t="s">
        <v>152</v>
      </c>
    </row>
    <row r="25" spans="1:1" x14ac:dyDescent="0.35">
      <c r="A25" t="s">
        <v>154</v>
      </c>
    </row>
    <row r="26" spans="1:1" x14ac:dyDescent="0.35">
      <c r="A26" t="s">
        <v>156</v>
      </c>
    </row>
    <row r="27" spans="1:1" x14ac:dyDescent="0.35">
      <c r="A27" t="s">
        <v>158</v>
      </c>
    </row>
    <row r="28" spans="1:1" x14ac:dyDescent="0.35">
      <c r="A28" t="s">
        <v>160</v>
      </c>
    </row>
    <row r="29" spans="1:1" x14ac:dyDescent="0.35">
      <c r="A29" t="s">
        <v>162</v>
      </c>
    </row>
    <row r="30" spans="1:1" x14ac:dyDescent="0.35">
      <c r="A30" t="s">
        <v>164</v>
      </c>
    </row>
  </sheetData>
  <pageMargins left="0.7" right="0.7" top="0.75" bottom="0.75" header="0.3" footer="0.3"/>
  <headerFooter>
    <oddFooter>&amp;C_x000D_&amp;1#&amp;"Calibri"&amp;10&amp;K000000 DOCUMENTO DE USO INTERNO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7" ma:contentTypeDescription="Crear nuevo documento." ma:contentTypeScope="" ma:versionID="a3c5fe0f7970ddeebed6333dfbf8dffd">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fa497ce3d717a3af05b81d8f94093923"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c1b2135-da83-4796-ab8b-f4b5c7d889fa">
      <Terms xmlns="http://schemas.microsoft.com/office/infopath/2007/PartnerControls"/>
    </lcf76f155ced4ddcb4097134ff3c332f>
    <TaxCatchAll xmlns="17ceb74a-49b8-4359-9c49-a5591ddf3cd6" xsi:nil="true"/>
  </documentManagement>
</p:properties>
</file>

<file path=customXml/itemProps1.xml><?xml version="1.0" encoding="utf-8"?>
<ds:datastoreItem xmlns:ds="http://schemas.openxmlformats.org/officeDocument/2006/customXml" ds:itemID="{B102C077-9159-4299-9570-AC01FAD29B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42A399-718B-41F3-AD58-E4D91390821F}">
  <ds:schemaRefs>
    <ds:schemaRef ds:uri="http://schemas.microsoft.com/sharepoint/v3/contenttype/forms"/>
  </ds:schemaRefs>
</ds:datastoreItem>
</file>

<file path=customXml/itemProps3.xml><?xml version="1.0" encoding="utf-8"?>
<ds:datastoreItem xmlns:ds="http://schemas.openxmlformats.org/officeDocument/2006/customXml" ds:itemID="{0BB186DA-C931-4033-9F16-FED16AB43AE4}">
  <ds:schemaRefs>
    <ds:schemaRef ds:uri="http://schemas.microsoft.com/office/infopath/2007/PartnerControls"/>
    <ds:schemaRef ds:uri="http://purl.org/dc/terms/"/>
    <ds:schemaRef ds:uri="17ceb74a-49b8-4359-9c49-a5591ddf3cd6"/>
    <ds:schemaRef ds:uri="http://schemas.microsoft.com/office/2006/documentManagement/types"/>
    <ds:schemaRef ds:uri="http://purl.org/dc/elements/1.1/"/>
    <ds:schemaRef ds:uri="2c1b2135-da83-4796-ab8b-f4b5c7d889fa"/>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Hoja1</vt:lpstr>
      <vt:lpstr>CONTRATOS</vt:lpstr>
      <vt:lpstr>SUCURSALES</vt:lpstr>
      <vt:lpstr>Referencias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JANET RAMIREZ SAYAGO</dc:creator>
  <cp:keywords/>
  <dc:description/>
  <cp:lastModifiedBy>SANDRA JANET RAMIREZ SAYAGO</cp:lastModifiedBy>
  <cp:revision/>
  <dcterms:created xsi:type="dcterms:W3CDTF">2023-05-15T20:58:08Z</dcterms:created>
  <dcterms:modified xsi:type="dcterms:W3CDTF">2025-10-27T21:19:19Z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2023-07-21T19:20:50Z</vt:lpwstr>
  </property>
  <property fmtid="{D5CDD505-2E9C-101B-9397-08002B2CF9AE}" pid="4" name="MSIP_Label_1f9f3886-688c-41ec-beb5-f6c446299e5f_Method">
    <vt:lpwstr>Privileged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b2315eb4-a7f0-4ace-8f07-940d322a0957</vt:lpwstr>
  </property>
  <property fmtid="{D5CDD505-2E9C-101B-9397-08002B2CF9AE}" pid="8" name="MSIP_Label_1f9f3886-688c-41ec-beb5-f6c446299e5f_ContentBits">
    <vt:lpwstr>2</vt:lpwstr>
  </property>
  <property fmtid="{D5CDD505-2E9C-101B-9397-08002B2CF9AE}" pid="9" name="ContentTypeId">
    <vt:lpwstr>0x0101009E592C7C312C034BAC689B41BA9BC27F</vt:lpwstr>
  </property>
  <property fmtid="{D5CDD505-2E9C-101B-9397-08002B2CF9AE}" pid="10" name="MediaServiceImageTags">
    <vt:lpwstr/>
  </property>
</Properties>
</file>